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 defaultThemeVersion="166925"/>
  <xr:revisionPtr revIDLastSave="1754" documentId="8_{846D7F88-AF3A-4D66-813A-C2F7B9786DD7}" xr6:coauthVersionLast="46" xr6:coauthVersionMax="46" xr10:uidLastSave="{120ABAEA-E464-4175-8675-FB65636A9B8E}"/>
  <bookViews>
    <workbookView xWindow="-108" yWindow="-108" windowWidth="23256" windowHeight="12576" xr2:uid="{00000000-000D-0000-FFFF-FFFF00000000}"/>
  </bookViews>
  <sheets>
    <sheet name="Analysis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8" l="1"/>
  <c r="D241" i="8"/>
  <c r="G21" i="8"/>
  <c r="F98" i="8"/>
  <c r="E98" i="8"/>
  <c r="D98" i="8"/>
  <c r="C98" i="8"/>
  <c r="F87" i="8" l="1"/>
  <c r="E87" i="8"/>
  <c r="C241" i="8"/>
  <c r="C176" i="8"/>
  <c r="D87" i="8"/>
  <c r="C87" i="8"/>
  <c r="C21" i="8"/>
  <c r="I174" i="8" l="1"/>
  <c r="J174" i="8"/>
  <c r="I171" i="8"/>
  <c r="H174" i="8"/>
  <c r="H173" i="8"/>
  <c r="H172" i="8"/>
  <c r="H171" i="8"/>
  <c r="G174" i="8"/>
  <c r="G173" i="8"/>
  <c r="G172" i="8"/>
  <c r="G171" i="8"/>
  <c r="F173" i="8"/>
  <c r="F172" i="8"/>
  <c r="F171" i="8"/>
  <c r="F174" i="8"/>
  <c r="E174" i="8"/>
  <c r="E173" i="8"/>
  <c r="E172" i="8"/>
  <c r="E171" i="8"/>
  <c r="J32" i="8"/>
  <c r="J199" i="8"/>
  <c r="J200" i="8" s="1"/>
  <c r="G225" i="8" s="1"/>
  <c r="I199" i="8"/>
  <c r="I200" i="8" s="1"/>
  <c r="G220" i="8" s="1"/>
  <c r="H199" i="8"/>
  <c r="H200" i="8" s="1"/>
  <c r="G215" i="8" s="1"/>
  <c r="J189" i="8"/>
  <c r="G224" i="8" s="1"/>
  <c r="I189" i="8"/>
  <c r="G219" i="8" s="1"/>
  <c r="H189" i="8"/>
  <c r="G214" i="8" s="1"/>
  <c r="J176" i="8"/>
  <c r="G223" i="8" s="1"/>
  <c r="C125" i="8"/>
  <c r="C141" i="8" s="1"/>
  <c r="G125" i="8"/>
  <c r="F253" i="8"/>
  <c r="E270" i="8" s="1"/>
  <c r="E253" i="8"/>
  <c r="D270" i="8" s="1"/>
  <c r="I253" i="8"/>
  <c r="C287" i="8" s="1"/>
  <c r="H253" i="8"/>
  <c r="C282" i="8" s="1"/>
  <c r="G253" i="8"/>
  <c r="C277" i="8" s="1"/>
  <c r="D253" i="8"/>
  <c r="C253" i="8"/>
  <c r="G189" i="8"/>
  <c r="C224" i="8" s="1"/>
  <c r="F189" i="8"/>
  <c r="C219" i="8" s="1"/>
  <c r="E189" i="8"/>
  <c r="C214" i="8" s="1"/>
  <c r="D189" i="8"/>
  <c r="D207" i="8" s="1"/>
  <c r="C189" i="8"/>
  <c r="C207" i="8" s="1"/>
  <c r="F262" i="8"/>
  <c r="F263" i="8" s="1"/>
  <c r="E271" i="8" s="1"/>
  <c r="E262" i="8"/>
  <c r="E263" i="8" s="1"/>
  <c r="D271" i="8" s="1"/>
  <c r="C270" i="8"/>
  <c r="F239" i="8"/>
  <c r="F238" i="8"/>
  <c r="F237" i="8"/>
  <c r="F236" i="8"/>
  <c r="E239" i="8"/>
  <c r="E238" i="8"/>
  <c r="E237" i="8"/>
  <c r="E236" i="8"/>
  <c r="I262" i="8"/>
  <c r="I263" i="8" s="1"/>
  <c r="C288" i="8" s="1"/>
  <c r="H262" i="8"/>
  <c r="H263" i="8" s="1"/>
  <c r="C283" i="8" s="1"/>
  <c r="G262" i="8"/>
  <c r="G263" i="8" s="1"/>
  <c r="C278" i="8" s="1"/>
  <c r="D262" i="8"/>
  <c r="D263" i="8" s="1"/>
  <c r="C262" i="8"/>
  <c r="C263" i="8" s="1"/>
  <c r="C271" i="8" s="1"/>
  <c r="I241" i="8"/>
  <c r="C286" i="8" s="1"/>
  <c r="H241" i="8"/>
  <c r="C281" i="8" s="1"/>
  <c r="G241" i="8"/>
  <c r="C276" i="8" s="1"/>
  <c r="C269" i="8"/>
  <c r="C114" i="8"/>
  <c r="D33" i="8"/>
  <c r="I176" i="8" l="1"/>
  <c r="G218" i="8" s="1"/>
  <c r="D214" i="8"/>
  <c r="D219" i="8"/>
  <c r="E219" i="8" s="1"/>
  <c r="F219" i="8" s="1"/>
  <c r="H224" i="8"/>
  <c r="I224" i="8" s="1"/>
  <c r="J224" i="8" s="1"/>
  <c r="D224" i="8"/>
  <c r="E224" i="8" s="1"/>
  <c r="F224" i="8" s="1"/>
  <c r="H214" i="8"/>
  <c r="I214" i="8" s="1"/>
  <c r="J214" i="8" s="1"/>
  <c r="H219" i="8"/>
  <c r="I219" i="8" s="1"/>
  <c r="J219" i="8" s="1"/>
  <c r="H176" i="8"/>
  <c r="G213" i="8" s="1"/>
  <c r="D288" i="8"/>
  <c r="E288" i="8" s="1"/>
  <c r="F288" i="8" s="1"/>
  <c r="G288" i="8"/>
  <c r="H288" i="8" s="1"/>
  <c r="I288" i="8" s="1"/>
  <c r="G282" i="8"/>
  <c r="H282" i="8" s="1"/>
  <c r="I282" i="8" s="1"/>
  <c r="D282" i="8"/>
  <c r="E282" i="8" s="1"/>
  <c r="F282" i="8" s="1"/>
  <c r="G283" i="8"/>
  <c r="H283" i="8" s="1"/>
  <c r="I283" i="8" s="1"/>
  <c r="D283" i="8"/>
  <c r="E283" i="8" s="1"/>
  <c r="F283" i="8" s="1"/>
  <c r="G277" i="8"/>
  <c r="H277" i="8" s="1"/>
  <c r="I277" i="8" s="1"/>
  <c r="D277" i="8"/>
  <c r="E277" i="8" s="1"/>
  <c r="F277" i="8" s="1"/>
  <c r="G287" i="8"/>
  <c r="H287" i="8" s="1"/>
  <c r="I287" i="8" s="1"/>
  <c r="D287" i="8"/>
  <c r="E287" i="8" s="1"/>
  <c r="F287" i="8" s="1"/>
  <c r="G278" i="8"/>
  <c r="D278" i="8"/>
  <c r="F241" i="8"/>
  <c r="E269" i="8" s="1"/>
  <c r="G286" i="8" s="1"/>
  <c r="H286" i="8" s="1"/>
  <c r="I286" i="8" s="1"/>
  <c r="E241" i="8"/>
  <c r="D269" i="8" s="1"/>
  <c r="D286" i="8" s="1"/>
  <c r="E286" i="8" s="1"/>
  <c r="F286" i="8" s="1"/>
  <c r="D276" i="8" l="1"/>
  <c r="E276" i="8" s="1"/>
  <c r="F276" i="8" s="1"/>
  <c r="G281" i="8"/>
  <c r="H281" i="8" s="1"/>
  <c r="I281" i="8" s="1"/>
  <c r="G276" i="8"/>
  <c r="H276" i="8" s="1"/>
  <c r="I276" i="8" s="1"/>
  <c r="D281" i="8"/>
  <c r="E281" i="8" s="1"/>
  <c r="F281" i="8" s="1"/>
  <c r="C158" i="8" l="1"/>
  <c r="F125" i="8"/>
  <c r="C153" i="8" s="1"/>
  <c r="E125" i="8"/>
  <c r="C148" i="8" s="1"/>
  <c r="D125" i="8"/>
  <c r="D141" i="8" s="1"/>
  <c r="C206" i="8"/>
  <c r="G199" i="8"/>
  <c r="G200" i="8" s="1"/>
  <c r="C225" i="8" s="1"/>
  <c r="F199" i="8"/>
  <c r="F200" i="8" s="1"/>
  <c r="C220" i="8" s="1"/>
  <c r="E199" i="8"/>
  <c r="E200" i="8" s="1"/>
  <c r="C215" i="8" s="1"/>
  <c r="D199" i="8"/>
  <c r="D200" i="8" s="1"/>
  <c r="D208" i="8" s="1"/>
  <c r="C199" i="8"/>
  <c r="C200" i="8" s="1"/>
  <c r="C208" i="8" s="1"/>
  <c r="G176" i="8"/>
  <c r="C223" i="8" s="1"/>
  <c r="F176" i="8"/>
  <c r="C218" i="8" s="1"/>
  <c r="E176" i="8"/>
  <c r="C213" i="8" s="1"/>
  <c r="D176" i="8"/>
  <c r="D206" i="8" s="1"/>
  <c r="H213" i="8" s="1"/>
  <c r="G133" i="8"/>
  <c r="G134" i="8" s="1"/>
  <c r="C159" i="8" s="1"/>
  <c r="F133" i="8"/>
  <c r="F134" i="8" s="1"/>
  <c r="C154" i="8" s="1"/>
  <c r="E133" i="8"/>
  <c r="E134" i="8" s="1"/>
  <c r="C149" i="8" s="1"/>
  <c r="D133" i="8"/>
  <c r="D134" i="8" s="1"/>
  <c r="D142" i="8" s="1"/>
  <c r="C133" i="8"/>
  <c r="C134" i="8" s="1"/>
  <c r="C142" i="8" s="1"/>
  <c r="D21" i="8"/>
  <c r="E21" i="8"/>
  <c r="C58" i="8" s="1"/>
  <c r="F21" i="8"/>
  <c r="G114" i="8"/>
  <c r="C157" i="8" s="1"/>
  <c r="F114" i="8"/>
  <c r="C152" i="8" s="1"/>
  <c r="E114" i="8"/>
  <c r="C147" i="8" s="1"/>
  <c r="D114" i="8"/>
  <c r="D140" i="8" s="1"/>
  <c r="C140" i="8"/>
  <c r="D220" i="8" l="1"/>
  <c r="I213" i="8"/>
  <c r="D225" i="8"/>
  <c r="E225" i="8" s="1"/>
  <c r="F225" i="8" s="1"/>
  <c r="D215" i="8"/>
  <c r="D218" i="8"/>
  <c r="E218" i="8" s="1"/>
  <c r="F218" i="8" s="1"/>
  <c r="D223" i="8"/>
  <c r="E223" i="8" s="1"/>
  <c r="F223" i="8" s="1"/>
  <c r="H218" i="8"/>
  <c r="I218" i="8" s="1"/>
  <c r="J218" i="8" s="1"/>
  <c r="H223" i="8"/>
  <c r="I223" i="8" s="1"/>
  <c r="J223" i="8" s="1"/>
  <c r="J213" i="8"/>
  <c r="D213" i="8"/>
  <c r="H220" i="8"/>
  <c r="I220" i="8" s="1"/>
  <c r="J220" i="8" s="1"/>
  <c r="H215" i="8"/>
  <c r="H225" i="8"/>
  <c r="I225" i="8" s="1"/>
  <c r="J225" i="8" s="1"/>
  <c r="D148" i="8"/>
  <c r="E148" i="8" s="1"/>
  <c r="F148" i="8" s="1"/>
  <c r="D153" i="8"/>
  <c r="E153" i="8" s="1"/>
  <c r="F153" i="8" s="1"/>
  <c r="D158" i="8"/>
  <c r="E158" i="8" s="1"/>
  <c r="F158" i="8" s="1"/>
  <c r="D147" i="8"/>
  <c r="E147" i="8" s="1"/>
  <c r="F147" i="8" s="1"/>
  <c r="D154" i="8"/>
  <c r="E154" i="8" s="1"/>
  <c r="D149" i="8"/>
  <c r="D159" i="8"/>
  <c r="E159" i="8" s="1"/>
  <c r="D157" i="8"/>
  <c r="E157" i="8" s="1"/>
  <c r="D152" i="8"/>
  <c r="E152" i="8" s="1"/>
  <c r="C43" i="8"/>
  <c r="C52" i="8" s="1"/>
  <c r="E213" i="8" l="1"/>
  <c r="F213" i="8" s="1"/>
  <c r="E33" i="8"/>
  <c r="C59" i="8" s="1"/>
  <c r="F33" i="8"/>
  <c r="C64" i="8" s="1"/>
  <c r="G33" i="8"/>
  <c r="C69" i="8" s="1"/>
  <c r="D51" i="8"/>
  <c r="C33" i="8"/>
  <c r="C51" i="8" s="1"/>
  <c r="G42" i="8"/>
  <c r="D42" i="8"/>
  <c r="E42" i="8"/>
  <c r="F42" i="8"/>
  <c r="I54" i="8"/>
  <c r="C68" i="8"/>
  <c r="C63" i="8"/>
  <c r="C50" i="8"/>
  <c r="D50" i="8"/>
  <c r="E59" i="8" l="1"/>
  <c r="F157" i="8"/>
  <c r="F152" i="8"/>
  <c r="E43" i="8"/>
  <c r="C60" i="8" s="1"/>
  <c r="G43" i="8"/>
  <c r="C70" i="8" s="1"/>
  <c r="D43" i="8"/>
  <c r="D52" i="8" s="1"/>
  <c r="F43" i="8"/>
  <c r="C65" i="8" s="1"/>
  <c r="D68" i="8"/>
  <c r="G68" i="8" s="1"/>
  <c r="D58" i="8"/>
  <c r="H58" i="8" s="1"/>
  <c r="D63" i="8"/>
  <c r="E63" i="8" s="1"/>
  <c r="F63" i="8" s="1"/>
  <c r="D59" i="8"/>
  <c r="D69" i="8"/>
  <c r="E69" i="8" s="1"/>
  <c r="F69" i="8" s="1"/>
  <c r="D64" i="8"/>
  <c r="E64" i="8" s="1"/>
  <c r="F64" i="8" s="1"/>
  <c r="F59" i="8" l="1"/>
  <c r="H69" i="8"/>
  <c r="H59" i="8"/>
  <c r="H64" i="8"/>
  <c r="E58" i="8"/>
  <c r="F58" i="8" s="1"/>
  <c r="G58" i="8"/>
  <c r="G63" i="8"/>
  <c r="D65" i="8"/>
  <c r="D70" i="8"/>
  <c r="D60" i="8"/>
  <c r="H63" i="8"/>
  <c r="E68" i="8"/>
  <c r="F68" i="8" s="1"/>
  <c r="H68" i="8"/>
  <c r="H65" i="8" l="1"/>
  <c r="G65" i="8"/>
  <c r="E65" i="8"/>
  <c r="F65" i="8" s="1"/>
  <c r="E70" i="8"/>
  <c r="F70" i="8" s="1"/>
  <c r="H70" i="8"/>
  <c r="G70" i="8"/>
  <c r="F154" i="8"/>
  <c r="F15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J108" authorId="0" shapeId="0" xr:uid="{8449DD7E-46BA-4F64-9583-38770D307DB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lahopuuluokkien yhteisvaikutus sama kuin muilla eli 0,4 pudotus tilaan</t>
        </r>
      </text>
    </comment>
  </commentList>
</comments>
</file>

<file path=xl/sharedStrings.xml><?xml version="1.0" encoding="utf-8"?>
<sst xmlns="http://schemas.openxmlformats.org/spreadsheetml/2006/main" count="522" uniqueCount="119">
  <si>
    <t>-</t>
  </si>
  <si>
    <t>State</t>
  </si>
  <si>
    <t>Gain</t>
  </si>
  <si>
    <t>MULTIPLICATIVE METHOD</t>
  </si>
  <si>
    <t>CURRENT STATE</t>
  </si>
  <si>
    <t>CONSERVATION</t>
  </si>
  <si>
    <t>DEAD WOOD CREATION</t>
  </si>
  <si>
    <t>BURNING</t>
  </si>
  <si>
    <t>Deacying wood, stage 1</t>
  </si>
  <si>
    <t>Deacying wood, stage 2</t>
  </si>
  <si>
    <t>Deacying wood, stage 3</t>
  </si>
  <si>
    <t>Broad-leaved trees</t>
  </si>
  <si>
    <t>Large trees</t>
  </si>
  <si>
    <t>STATE</t>
  </si>
  <si>
    <t>Weight</t>
  </si>
  <si>
    <t>Ref. values</t>
  </si>
  <si>
    <t>MULTIPLICATIVE</t>
  </si>
  <si>
    <t>ADDITIVE</t>
  </si>
  <si>
    <t>SCENARIOS</t>
  </si>
  <si>
    <t>%</t>
  </si>
  <si>
    <t>t</t>
  </si>
  <si>
    <t>DISCOUNTING</t>
  </si>
  <si>
    <t>Multipliers for time delay</t>
  </si>
  <si>
    <t>Component</t>
  </si>
  <si>
    <t>Condition score</t>
  </si>
  <si>
    <t>Result</t>
  </si>
  <si>
    <t>Distinctiveness score</t>
  </si>
  <si>
    <t xml:space="preserve">Habitat condition </t>
  </si>
  <si>
    <t>Score</t>
  </si>
  <si>
    <t>Scaled</t>
  </si>
  <si>
    <t>SUMMARY OF RESULTS</t>
  </si>
  <si>
    <t>ADDITIVE METHOD</t>
  </si>
  <si>
    <t>None</t>
  </si>
  <si>
    <t>0-30 %</t>
  </si>
  <si>
    <t>30-60 %</t>
  </si>
  <si>
    <t>60-90 %</t>
  </si>
  <si>
    <t>SCORING INTERVALS</t>
  </si>
  <si>
    <r>
      <rPr>
        <sz val="11"/>
        <color theme="1"/>
        <rFont val="Calibri"/>
        <family val="2"/>
      </rPr>
      <t>&gt;</t>
    </r>
    <r>
      <rPr>
        <sz val="11"/>
        <color theme="1"/>
        <rFont val="Calibri"/>
        <family val="2"/>
        <scheme val="minor"/>
      </rPr>
      <t xml:space="preserve"> 90 %</t>
    </r>
  </si>
  <si>
    <t>&gt; 45</t>
  </si>
  <si>
    <t>&gt; 18</t>
  </si>
  <si>
    <t>DEVELOPMENT SITE</t>
  </si>
  <si>
    <t>COMPENSATION SITE</t>
  </si>
  <si>
    <t>Category</t>
  </si>
  <si>
    <t>Low</t>
  </si>
  <si>
    <t>Agricultural land in intensive use, parks</t>
  </si>
  <si>
    <t>Medium</t>
  </si>
  <si>
    <t>High</t>
  </si>
  <si>
    <t>Example</t>
  </si>
  <si>
    <t>ELITE index value</t>
  </si>
  <si>
    <t>0.67-1</t>
  </si>
  <si>
    <t>0.34-0.66</t>
  </si>
  <si>
    <t>Good</t>
  </si>
  <si>
    <t>Moderate</t>
  </si>
  <si>
    <t>Poor</t>
  </si>
  <si>
    <t>BIODIVERSITY COMPONENTS, WEIGHTS AND REFERENCE VALUES</t>
  </si>
  <si>
    <t>0.01-0.33</t>
  </si>
  <si>
    <t>COSTS</t>
  </si>
  <si>
    <t>Conservation</t>
  </si>
  <si>
    <t>Dead wood creation</t>
  </si>
  <si>
    <t>Burning</t>
  </si>
  <si>
    <t>Costs</t>
  </si>
  <si>
    <t>Online Resource 1: Data and calculations</t>
  </si>
  <si>
    <t>SENSITIVITY ANALYSIS FOR DEAD WOOD WEIGHTS</t>
  </si>
  <si>
    <t>SENSITIVITY ANALYSIS FOR RESTORATION UNCERTAINTY</t>
  </si>
  <si>
    <t>Value</t>
  </si>
  <si>
    <t>0,1-7,8</t>
  </si>
  <si>
    <t>7,9-15,6</t>
  </si>
  <si>
    <t>15,7-23,4</t>
  </si>
  <si>
    <t>23,5-</t>
  </si>
  <si>
    <t>Maximum score</t>
  </si>
  <si>
    <t>16-30</t>
  </si>
  <si>
    <t>31-45</t>
  </si>
  <si>
    <t>46-</t>
  </si>
  <si>
    <t>1-15</t>
  </si>
  <si>
    <t>1-6</t>
  </si>
  <si>
    <t>7-12</t>
  </si>
  <si>
    <t>13-18</t>
  </si>
  <si>
    <t>19-</t>
  </si>
  <si>
    <t>SENSITIVITY ANALYSIS FOR BASELINE UNCERTAINTY</t>
  </si>
  <si>
    <t>BAU STATE+</t>
  </si>
  <si>
    <t>BAU STATE-</t>
  </si>
  <si>
    <r>
      <t>BAU STATE+</t>
    </r>
    <r>
      <rPr>
        <sz val="9"/>
        <color theme="1"/>
        <rFont val="Calibri"/>
        <family val="2"/>
        <scheme val="minor"/>
      </rPr>
      <t>*</t>
    </r>
  </si>
  <si>
    <r>
      <t>BAU STATE-</t>
    </r>
    <r>
      <rPr>
        <sz val="9"/>
        <color theme="1"/>
        <rFont val="Calibri"/>
        <family val="2"/>
        <scheme val="minor"/>
      </rPr>
      <t>**</t>
    </r>
  </si>
  <si>
    <t>THE MAIN ANALYSIS</t>
  </si>
  <si>
    <t>BIODIVERSITY COMPONENTS, WEIGHTS AND REFERENCE VALUES FOR THE MULTIPLICATIVE METHOD</t>
  </si>
  <si>
    <t>Spruce mires, semi-natural dry, mesic and moist grasslands, herb-rich forests,</t>
  </si>
  <si>
    <t>barren heath forests, wooded pastures</t>
  </si>
  <si>
    <r>
      <t xml:space="preserve">Pine mires, fens, and </t>
    </r>
    <r>
      <rPr>
        <u/>
        <sz val="9"/>
        <color theme="1"/>
        <rFont val="Calibri"/>
        <family val="2"/>
        <scheme val="minor"/>
      </rPr>
      <t>herb-rich, mesic, sub-xeric and xeric heath forests</t>
    </r>
  </si>
  <si>
    <t>MIN</t>
  </si>
  <si>
    <t>MAX</t>
  </si>
  <si>
    <t>SCORING INTERVALS TO DETERMINE A SCORE FOR EACH COMPONENT</t>
  </si>
  <si>
    <t>TOTAL</t>
  </si>
  <si>
    <t>Value for the component, m3 per ha</t>
  </si>
  <si>
    <t>Value for the component, pcs per ha</t>
  </si>
  <si>
    <t>SUBSTITUTABILITY ANALYSIS FOR MULTIPLICATIVE AND ADDITIVE METHODS</t>
  </si>
  <si>
    <t>COMPONENT COMPLETELY DEGRADED</t>
  </si>
  <si>
    <t>COMPONENT RESTORED TO REFERENCE STATE</t>
  </si>
  <si>
    <t>All multipliers</t>
  </si>
  <si>
    <t>*business as usual leads to 40 % increase in the components</t>
  </si>
  <si>
    <t>**business as usual leads to 40 % decrease in the components</t>
  </si>
  <si>
    <t>BIODIVERSITY COMPONENTS AND MAXIMUM SCORES FOR THE ADDITIVE METHOD</t>
  </si>
  <si>
    <t>0.1-7.8</t>
  </si>
  <si>
    <t>7.9-15.6</t>
  </si>
  <si>
    <t>15.7-23.4</t>
  </si>
  <si>
    <t>23.5-</t>
  </si>
  <si>
    <t>Trade ratio</t>
  </si>
  <si>
    <t>MATRIX</t>
  </si>
  <si>
    <t>MATRIX METHOD</t>
  </si>
  <si>
    <t>DISTINCTIVENESS</t>
  </si>
  <si>
    <t>Poor 1</t>
  </si>
  <si>
    <t>Moderate 2</t>
  </si>
  <si>
    <t>Good 3</t>
  </si>
  <si>
    <t>Low 2</t>
  </si>
  <si>
    <t>Medium 4</t>
  </si>
  <si>
    <t>High 6</t>
  </si>
  <si>
    <t>CONDITION SCORES FOR THE MATRIX METHOD</t>
  </si>
  <si>
    <t>DISTINCTIVENESS SCORES FOR THE MATRIX METHOD</t>
  </si>
  <si>
    <t>CONDITION</t>
  </si>
  <si>
    <t>SCORING MATRIX FOR THE MATRIX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</si>
</sst>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&quot;€&quot;_-;\-* #,##0\ &quot;€&quot;_-;_-* &quot;-&quot;??\ &quot;€&quot;_-;_-@_-"/>
    <numFmt numFmtId="165" formatCode="0.0"/>
    <numFmt numFmtId="166" formatCode="_-* #,##0_-;\-* #,##0_-;_-* &quot;-&quot;??_-;_-@_-"/>
    <numFmt numFmtId="167" formatCode="0.0\ %"/>
    <numFmt numFmtId="168" formatCode="0.000"/>
    <numFmt numFmtId="169" formatCode="0.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 style="thin">
        <color rgb="FF002060"/>
      </top>
      <bottom style="medium">
        <color rgb="FFFF0000"/>
      </bottom>
      <diagonal/>
    </border>
    <border>
      <left/>
      <right style="thin">
        <color indexed="64"/>
      </right>
      <top style="thin">
        <color rgb="FF002060"/>
      </top>
      <bottom style="medium">
        <color rgb="FFFF0000"/>
      </bottom>
      <diagonal/>
    </border>
    <border>
      <left style="thin">
        <color indexed="64"/>
      </left>
      <right/>
      <top style="thin">
        <color rgb="FF002060"/>
      </top>
      <bottom style="thin">
        <color indexed="64"/>
      </bottom>
      <diagonal/>
    </border>
    <border>
      <left/>
      <right/>
      <top style="thin">
        <color rgb="FF002060"/>
      </top>
      <bottom style="medium">
        <color rgb="FFFF0000"/>
      </bottom>
      <diagonal/>
    </border>
    <border>
      <left style="thin">
        <color rgb="FF002060"/>
      </left>
      <right/>
      <top style="thin">
        <color indexed="64"/>
      </top>
      <bottom style="thin">
        <color rgb="FF002060"/>
      </bottom>
      <diagonal/>
    </border>
    <border>
      <left/>
      <right/>
      <top style="thin">
        <color indexed="64"/>
      </top>
      <bottom style="thin">
        <color rgb="FF002060"/>
      </bottom>
      <diagonal/>
    </border>
    <border>
      <left/>
      <right style="thin">
        <color rgb="FF002060"/>
      </right>
      <top style="thin">
        <color indexed="64"/>
      </top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3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3" fillId="0" borderId="0" xfId="0" applyFont="1"/>
    <xf numFmtId="0" fontId="0" fillId="0" borderId="8" xfId="0" applyBorder="1"/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6" xfId="0" applyNumberFormat="1" applyBorder="1"/>
    <xf numFmtId="2" fontId="0" fillId="0" borderId="0" xfId="0" applyNumberFormat="1" applyAlignment="1">
      <alignment horizontal="center"/>
    </xf>
    <xf numFmtId="0" fontId="0" fillId="0" borderId="9" xfId="0" applyBorder="1"/>
    <xf numFmtId="164" fontId="0" fillId="0" borderId="0" xfId="1" applyNumberFormat="1" applyFont="1" applyBorder="1" applyAlignment="1">
      <alignment horizontal="center" vertical="center"/>
    </xf>
    <xf numFmtId="9" fontId="0" fillId="0" borderId="0" xfId="2" applyFont="1" applyBorder="1"/>
    <xf numFmtId="2" fontId="0" fillId="0" borderId="0" xfId="0" applyNumberFormat="1" applyFont="1" applyBorder="1" applyAlignment="1">
      <alignment horizontal="center"/>
    </xf>
    <xf numFmtId="0" fontId="0" fillId="0" borderId="6" xfId="0" applyBorder="1"/>
    <xf numFmtId="0" fontId="6" fillId="0" borderId="0" xfId="0" applyFont="1" applyBorder="1"/>
    <xf numFmtId="0" fontId="0" fillId="0" borderId="10" xfId="0" applyBorder="1"/>
    <xf numFmtId="0" fontId="0" fillId="0" borderId="11" xfId="0" applyBorder="1"/>
    <xf numFmtId="0" fontId="6" fillId="0" borderId="11" xfId="0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166" fontId="0" fillId="0" borderId="3" xfId="3" applyNumberFormat="1" applyFont="1" applyFill="1" applyBorder="1"/>
    <xf numFmtId="167" fontId="0" fillId="0" borderId="5" xfId="2" applyNumberFormat="1" applyFont="1" applyFill="1" applyBorder="1"/>
    <xf numFmtId="0" fontId="6" fillId="0" borderId="11" xfId="0" applyFont="1" applyFill="1" applyBorder="1"/>
    <xf numFmtId="2" fontId="0" fillId="0" borderId="10" xfId="0" applyNumberFormat="1" applyFont="1" applyFill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11" xfId="0" applyNumberFormat="1" applyFont="1" applyBorder="1" applyAlignment="1">
      <alignment horizontal="center"/>
    </xf>
    <xf numFmtId="0" fontId="3" fillId="0" borderId="11" xfId="0" applyFont="1" applyBorder="1"/>
    <xf numFmtId="0" fontId="6" fillId="0" borderId="11" xfId="0" applyFont="1" applyBorder="1"/>
    <xf numFmtId="165" fontId="0" fillId="0" borderId="11" xfId="0" applyNumberFormat="1" applyFont="1" applyBorder="1" applyAlignment="1">
      <alignment horizontal="center"/>
    </xf>
    <xf numFmtId="2" fontId="0" fillId="0" borderId="11" xfId="0" quotePrefix="1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Font="1" applyBorder="1"/>
    <xf numFmtId="0" fontId="0" fillId="0" borderId="6" xfId="0" applyFill="1" applyBorder="1"/>
    <xf numFmtId="2" fontId="0" fillId="0" borderId="3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0" fillId="0" borderId="6" xfId="0" applyNumberFormat="1" applyFont="1" applyFill="1" applyBorder="1" applyAlignment="1">
      <alignment horizontal="center"/>
    </xf>
    <xf numFmtId="0" fontId="3" fillId="0" borderId="2" xfId="0" applyFont="1" applyBorder="1"/>
    <xf numFmtId="0" fontId="5" fillId="0" borderId="0" xfId="0" applyFont="1" applyFill="1" applyBorder="1"/>
    <xf numFmtId="0" fontId="2" fillId="0" borderId="11" xfId="0" applyFont="1" applyBorder="1"/>
    <xf numFmtId="0" fontId="2" fillId="0" borderId="14" xfId="0" applyFont="1" applyBorder="1"/>
    <xf numFmtId="0" fontId="0" fillId="0" borderId="9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7" fillId="0" borderId="0" xfId="0" applyFont="1"/>
    <xf numFmtId="168" fontId="0" fillId="0" borderId="0" xfId="0" applyNumberFormat="1" applyBorder="1" applyAlignment="1">
      <alignment horizontal="center"/>
    </xf>
    <xf numFmtId="168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right"/>
    </xf>
    <xf numFmtId="1" fontId="0" fillId="0" borderId="4" xfId="0" applyNumberFormat="1" applyBorder="1"/>
    <xf numFmtId="0" fontId="2" fillId="0" borderId="12" xfId="0" applyFont="1" applyFill="1" applyBorder="1" applyAlignment="1">
      <alignment horizontal="center"/>
    </xf>
    <xf numFmtId="0" fontId="2" fillId="0" borderId="13" xfId="0" applyFont="1" applyBorder="1"/>
    <xf numFmtId="0" fontId="2" fillId="0" borderId="12" xfId="0" applyFont="1" applyBorder="1"/>
    <xf numFmtId="0" fontId="2" fillId="0" borderId="12" xfId="0" applyFont="1" applyFill="1" applyBorder="1"/>
    <xf numFmtId="0" fontId="2" fillId="0" borderId="11" xfId="0" applyFont="1" applyFill="1" applyBorder="1"/>
    <xf numFmtId="0" fontId="9" fillId="0" borderId="12" xfId="0" applyFont="1" applyBorder="1"/>
    <xf numFmtId="0" fontId="9" fillId="0" borderId="9" xfId="0" applyFont="1" applyBorder="1"/>
    <xf numFmtId="0" fontId="9" fillId="0" borderId="8" xfId="0" applyFont="1" applyBorder="1"/>
    <xf numFmtId="0" fontId="9" fillId="0" borderId="5" xfId="0" applyFont="1" applyBorder="1"/>
    <xf numFmtId="0" fontId="0" fillId="0" borderId="15" xfId="0" applyBorder="1"/>
    <xf numFmtId="0" fontId="0" fillId="0" borderId="13" xfId="0" applyBorder="1"/>
    <xf numFmtId="2" fontId="0" fillId="0" borderId="0" xfId="0" applyNumberFormat="1"/>
    <xf numFmtId="0" fontId="10" fillId="0" borderId="0" xfId="0" applyFont="1"/>
    <xf numFmtId="164" fontId="0" fillId="0" borderId="5" xfId="1" applyNumberFormat="1" applyFont="1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164" fontId="0" fillId="0" borderId="11" xfId="1" applyNumberFormat="1" applyFont="1" applyBorder="1" applyAlignment="1">
      <alignment vertical="center"/>
    </xf>
    <xf numFmtId="164" fontId="0" fillId="0" borderId="11" xfId="1" applyNumberFormat="1" applyFont="1" applyBorder="1" applyAlignment="1">
      <alignment horizontal="left" vertical="center"/>
    </xf>
    <xf numFmtId="164" fontId="0" fillId="0" borderId="11" xfId="1" quotePrefix="1" applyNumberFormat="1" applyFont="1" applyBorder="1" applyAlignment="1">
      <alignment horizontal="left" vertical="center"/>
    </xf>
    <xf numFmtId="0" fontId="6" fillId="0" borderId="12" xfId="0" applyFont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168" fontId="0" fillId="0" borderId="7" xfId="0" applyNumberFormat="1" applyBorder="1" applyAlignment="1">
      <alignment horizontal="center"/>
    </xf>
    <xf numFmtId="168" fontId="0" fillId="0" borderId="6" xfId="0" applyNumberFormat="1" applyBorder="1" applyAlignment="1">
      <alignment horizontal="center"/>
    </xf>
    <xf numFmtId="0" fontId="13" fillId="0" borderId="0" xfId="0" applyFont="1" applyBorder="1"/>
    <xf numFmtId="0" fontId="0" fillId="0" borderId="0" xfId="0" applyFill="1" applyBorder="1"/>
    <xf numFmtId="2" fontId="0" fillId="0" borderId="0" xfId="0" applyNumberFormat="1" applyBorder="1"/>
    <xf numFmtId="0" fontId="0" fillId="0" borderId="0" xfId="0" applyBorder="1" applyAlignment="1">
      <alignment horizontal="right"/>
    </xf>
    <xf numFmtId="2" fontId="0" fillId="0" borderId="4" xfId="0" applyNumberFormat="1" applyBorder="1"/>
    <xf numFmtId="2" fontId="0" fillId="0" borderId="3" xfId="0" applyNumberFormat="1" applyBorder="1"/>
    <xf numFmtId="2" fontId="0" fillId="0" borderId="7" xfId="0" applyNumberFormat="1" applyBorder="1"/>
    <xf numFmtId="2" fontId="0" fillId="0" borderId="4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6" xfId="0" applyFont="1" applyBorder="1"/>
    <xf numFmtId="0" fontId="6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2" fontId="0" fillId="0" borderId="7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7" xfId="0" applyNumberFormat="1" applyBorder="1" applyAlignment="1">
      <alignment horizontal="right"/>
    </xf>
    <xf numFmtId="1" fontId="1" fillId="0" borderId="8" xfId="0" applyNumberFormat="1" applyFont="1" applyBorder="1" applyAlignment="1">
      <alignment horizontal="right"/>
    </xf>
    <xf numFmtId="1" fontId="0" fillId="0" borderId="21" xfId="0" applyNumberFormat="1" applyBorder="1" applyAlignment="1">
      <alignment horizontal="right"/>
    </xf>
    <xf numFmtId="1" fontId="0" fillId="0" borderId="0" xfId="0" applyNumberFormat="1" applyBorder="1" applyAlignment="1">
      <alignment horizontal="right"/>
    </xf>
    <xf numFmtId="1" fontId="4" fillId="0" borderId="7" xfId="0" applyNumberFormat="1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1" fontId="0" fillId="0" borderId="9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1" fontId="1" fillId="0" borderId="9" xfId="0" applyNumberFormat="1" applyFont="1" applyBorder="1" applyAlignment="1">
      <alignment horizontal="right"/>
    </xf>
    <xf numFmtId="2" fontId="0" fillId="0" borderId="3" xfId="0" applyNumberFormat="1" applyFont="1" applyBorder="1" applyAlignment="1">
      <alignment horizontal="right"/>
    </xf>
    <xf numFmtId="2" fontId="0" fillId="0" borderId="2" xfId="0" applyNumberFormat="1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2" fontId="0" fillId="0" borderId="6" xfId="0" applyNumberFormat="1" applyFont="1" applyBorder="1" applyAlignment="1">
      <alignment horizontal="right"/>
    </xf>
    <xf numFmtId="0" fontId="9" fillId="0" borderId="0" xfId="0" applyFont="1"/>
    <xf numFmtId="0" fontId="13" fillId="0" borderId="0" xfId="0" applyFont="1"/>
    <xf numFmtId="0" fontId="6" fillId="0" borderId="10" xfId="0" applyFont="1" applyBorder="1"/>
    <xf numFmtId="0" fontId="6" fillId="0" borderId="8" xfId="0" applyFont="1" applyBorder="1"/>
    <xf numFmtId="0" fontId="6" fillId="0" borderId="31" xfId="0" applyFont="1" applyBorder="1" applyAlignment="1">
      <alignment horizontal="center"/>
    </xf>
    <xf numFmtId="165" fontId="0" fillId="0" borderId="0" xfId="0" applyNumberFormat="1"/>
    <xf numFmtId="0" fontId="0" fillId="0" borderId="5" xfId="0" applyFill="1" applyBorder="1"/>
    <xf numFmtId="1" fontId="0" fillId="0" borderId="3" xfId="0" applyNumberFormat="1" applyBorder="1" applyAlignment="1">
      <alignment horizont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17" fontId="0" fillId="0" borderId="0" xfId="0" quotePrefix="1" applyNumberFormat="1" applyBorder="1" applyAlignment="1">
      <alignment horizontal="center"/>
    </xf>
    <xf numFmtId="16" fontId="0" fillId="0" borderId="0" xfId="0" quotePrefix="1" applyNumberForma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/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2" fillId="0" borderId="2" xfId="0" applyFont="1" applyBorder="1"/>
    <xf numFmtId="0" fontId="2" fillId="0" borderId="2" xfId="0" applyFont="1" applyFill="1" applyBorder="1"/>
    <xf numFmtId="165" fontId="0" fillId="0" borderId="1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1" xfId="1" quotePrefix="1" applyNumberFormat="1" applyFont="1" applyBorder="1" applyAlignment="1">
      <alignment horizontal="center" vertical="center"/>
    </xf>
    <xf numFmtId="0" fontId="0" fillId="0" borderId="1" xfId="0" applyBorder="1" applyAlignment="1"/>
    <xf numFmtId="0" fontId="0" fillId="0" borderId="0" xfId="0" applyAlignment="1"/>
    <xf numFmtId="2" fontId="0" fillId="0" borderId="7" xfId="0" applyNumberForma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5" fontId="0" fillId="0" borderId="11" xfId="0" quotePrefix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1" applyNumberFormat="1" applyFont="1" applyBorder="1" applyAlignment="1">
      <alignment horizontal="center" vertical="center"/>
    </xf>
    <xf numFmtId="0" fontId="0" fillId="0" borderId="7" xfId="1" applyNumberFormat="1" applyFont="1" applyBorder="1" applyAlignment="1">
      <alignment horizontal="center" vertical="center"/>
    </xf>
    <xf numFmtId="2" fontId="0" fillId="0" borderId="10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8" fontId="0" fillId="0" borderId="0" xfId="0" applyNumberFormat="1" applyAlignment="1">
      <alignment horizontal="center"/>
    </xf>
    <xf numFmtId="169" fontId="0" fillId="0" borderId="0" xfId="0" applyNumberFormat="1"/>
    <xf numFmtId="0" fontId="0" fillId="0" borderId="11" xfId="0" applyBorder="1" applyAlignment="1">
      <alignment horizontal="center"/>
    </xf>
    <xf numFmtId="0" fontId="9" fillId="0" borderId="0" xfId="0" applyFont="1" applyAlignment="1">
      <alignment textRotation="255"/>
    </xf>
    <xf numFmtId="0" fontId="9" fillId="0" borderId="0" xfId="0" applyFont="1" applyAlignment="1">
      <alignment textRotation="45"/>
    </xf>
    <xf numFmtId="0" fontId="2" fillId="0" borderId="11" xfId="0" applyFont="1" applyFill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0" fillId="0" borderId="11" xfId="0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30480</xdr:colOff>
      <xdr:row>2</xdr:row>
      <xdr:rowOff>137160</xdr:rowOff>
    </xdr:from>
    <xdr:ext cx="8991600" cy="8763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89F3F67-8F44-4F27-8712-36173672D202}"/>
            </a:ext>
          </a:extLst>
        </xdr:cNvPr>
        <xdr:cNvSpPr txBox="1"/>
      </xdr:nvSpPr>
      <xdr:spPr>
        <a:xfrm>
          <a:off x="640080" y="502920"/>
          <a:ext cx="8991600" cy="876300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Precision, applicability and economic implications: A comparison of alternative biodiversity offset indexes</a:t>
          </a:r>
          <a:endParaRPr lang="fi-FI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Environmental Management</a:t>
          </a:r>
          <a:endParaRPr lang="fi-FI" sz="1100" i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i-F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Johanna Kangas, Peter Kullberg, Minna Pekkonen, Janne S. Kotiaho, Markku Ollikainen</a:t>
          </a: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Corresponding author: Johanna Kangas, johanna.a.kangas@helsinki.fi, Department of Economics and Management, University of Helsinki</a:t>
          </a:r>
          <a:endParaRPr lang="fi-FI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fi-FI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288"/>
  <sheetViews>
    <sheetView tabSelected="1" zoomScale="90" zoomScaleNormal="90" workbookViewId="0">
      <selection activeCell="C43" sqref="C43"/>
    </sheetView>
  </sheetViews>
  <sheetFormatPr defaultRowHeight="14.4" x14ac:dyDescent="0.3"/>
  <cols>
    <col min="2" max="2" width="24.109375" bestFit="1" customWidth="1"/>
    <col min="3" max="3" width="19" customWidth="1"/>
    <col min="4" max="4" width="19.33203125" bestFit="1" customWidth="1"/>
    <col min="5" max="5" width="17.88671875" customWidth="1"/>
    <col min="6" max="6" width="22.109375" bestFit="1" customWidth="1"/>
    <col min="7" max="7" width="23.6640625" bestFit="1" customWidth="1"/>
    <col min="8" max="8" width="23.21875" customWidth="1"/>
    <col min="9" max="9" width="21.33203125" customWidth="1"/>
    <col min="10" max="10" width="18.33203125" bestFit="1" customWidth="1"/>
    <col min="11" max="11" width="10.6640625" bestFit="1" customWidth="1"/>
    <col min="12" max="12" width="22.5546875" customWidth="1"/>
    <col min="13" max="13" width="9" customWidth="1"/>
    <col min="14" max="14" width="23" customWidth="1"/>
    <col min="15" max="15" width="21.77734375" customWidth="1"/>
    <col min="16" max="16" width="6.77734375" customWidth="1"/>
    <col min="17" max="17" width="22.6640625" bestFit="1" customWidth="1"/>
    <col min="18" max="18" width="21.77734375" customWidth="1"/>
    <col min="19" max="19" width="6.77734375" customWidth="1"/>
    <col min="20" max="20" width="22.109375" bestFit="1" customWidth="1"/>
    <col min="21" max="21" width="21.6640625" customWidth="1"/>
    <col min="22" max="22" width="6.5546875" customWidth="1"/>
    <col min="23" max="23" width="17.109375" bestFit="1" customWidth="1"/>
    <col min="24" max="24" width="21.77734375" customWidth="1"/>
    <col min="25" max="25" width="6.6640625" customWidth="1"/>
    <col min="26" max="26" width="10.77734375" customWidth="1"/>
    <col min="27" max="27" width="21.77734375" customWidth="1"/>
    <col min="28" max="28" width="6.6640625" customWidth="1"/>
  </cols>
  <sheetData>
    <row r="2" spans="1:15" x14ac:dyDescent="0.3">
      <c r="B2" s="79" t="s">
        <v>61</v>
      </c>
    </row>
    <row r="4" spans="1:15" x14ac:dyDescent="0.3">
      <c r="G4" s="2"/>
    </row>
    <row r="5" spans="1:15" x14ac:dyDescent="0.3">
      <c r="G5" s="2"/>
    </row>
    <row r="6" spans="1:15" x14ac:dyDescent="0.3">
      <c r="G6" s="2"/>
    </row>
    <row r="7" spans="1:15" x14ac:dyDescent="0.3">
      <c r="G7" s="2"/>
    </row>
    <row r="8" spans="1:15" x14ac:dyDescent="0.3">
      <c r="G8" s="2"/>
    </row>
    <row r="9" spans="1:15" x14ac:dyDescent="0.3">
      <c r="G9" s="2"/>
    </row>
    <row r="10" spans="1:15" x14ac:dyDescent="0.3">
      <c r="B10" s="129" t="s">
        <v>83</v>
      </c>
      <c r="G10" s="2"/>
    </row>
    <row r="11" spans="1:15" x14ac:dyDescent="0.3">
      <c r="G11" s="2"/>
    </row>
    <row r="12" spans="1:15" x14ac:dyDescent="0.3">
      <c r="A12" s="2"/>
      <c r="B12" s="34" t="s">
        <v>3</v>
      </c>
      <c r="C12" s="62"/>
    </row>
    <row r="13" spans="1:15" x14ac:dyDescent="0.3">
      <c r="A13" s="2"/>
      <c r="I13" s="1" t="s">
        <v>84</v>
      </c>
    </row>
    <row r="14" spans="1:15" x14ac:dyDescent="0.3">
      <c r="A14" s="2"/>
      <c r="B14" s="47"/>
      <c r="C14" s="24" t="s">
        <v>40</v>
      </c>
      <c r="D14" s="202" t="s">
        <v>41</v>
      </c>
      <c r="E14" s="203"/>
      <c r="F14" s="203"/>
      <c r="G14" s="204"/>
      <c r="I14" s="67" t="s">
        <v>23</v>
      </c>
      <c r="J14" s="68" t="s">
        <v>14</v>
      </c>
      <c r="K14" s="59" t="s">
        <v>15</v>
      </c>
    </row>
    <row r="15" spans="1:15" x14ac:dyDescent="0.3">
      <c r="A15" s="2"/>
      <c r="B15" s="22"/>
      <c r="C15" s="30" t="s">
        <v>4</v>
      </c>
      <c r="D15" s="31" t="s">
        <v>4</v>
      </c>
      <c r="E15" s="32" t="s">
        <v>5</v>
      </c>
      <c r="F15" s="30" t="s">
        <v>6</v>
      </c>
      <c r="G15" s="30" t="s">
        <v>7</v>
      </c>
      <c r="I15" s="16" t="s">
        <v>8</v>
      </c>
      <c r="J15" s="63">
        <v>0.17196500000000001</v>
      </c>
      <c r="K15" s="11">
        <v>26</v>
      </c>
      <c r="O15" s="2"/>
    </row>
    <row r="16" spans="1:15" x14ac:dyDescent="0.3">
      <c r="A16" s="2"/>
      <c r="B16" s="10" t="s">
        <v>8</v>
      </c>
      <c r="C16" s="29">
        <v>14.1</v>
      </c>
      <c r="D16" s="25">
        <v>3</v>
      </c>
      <c r="E16" s="26">
        <v>6.57</v>
      </c>
      <c r="F16" s="27">
        <v>6.57</v>
      </c>
      <c r="G16" s="28">
        <v>26</v>
      </c>
      <c r="H16" s="87"/>
      <c r="I16" s="16" t="s">
        <v>9</v>
      </c>
      <c r="J16" s="63">
        <v>0.17196500000000001</v>
      </c>
      <c r="K16" s="11">
        <v>26</v>
      </c>
    </row>
    <row r="17" spans="2:28" x14ac:dyDescent="0.3">
      <c r="B17" s="10" t="s">
        <v>9</v>
      </c>
      <c r="C17" s="29">
        <v>10.9</v>
      </c>
      <c r="D17" s="26">
        <v>2.6</v>
      </c>
      <c r="E17" s="26">
        <v>6.2850000000000001</v>
      </c>
      <c r="F17" s="27">
        <v>26.285</v>
      </c>
      <c r="G17" s="28">
        <v>26</v>
      </c>
      <c r="H17" s="87"/>
      <c r="I17" s="16" t="s">
        <v>10</v>
      </c>
      <c r="J17" s="63">
        <v>0.17196500000000001</v>
      </c>
      <c r="K17" s="11">
        <v>26</v>
      </c>
    </row>
    <row r="18" spans="2:28" x14ac:dyDescent="0.3">
      <c r="B18" s="10" t="s">
        <v>10</v>
      </c>
      <c r="C18" s="29">
        <v>11.2</v>
      </c>
      <c r="D18" s="26">
        <v>1.3</v>
      </c>
      <c r="E18" s="26">
        <v>7.8849999999999998</v>
      </c>
      <c r="F18" s="27">
        <v>26</v>
      </c>
      <c r="G18" s="28">
        <v>26</v>
      </c>
      <c r="H18" s="87"/>
      <c r="I18" s="16" t="s">
        <v>11</v>
      </c>
      <c r="J18" s="63">
        <v>0.28337499999999999</v>
      </c>
      <c r="K18" s="11">
        <v>50</v>
      </c>
    </row>
    <row r="19" spans="2:28" x14ac:dyDescent="0.3">
      <c r="B19" s="10" t="s">
        <v>11</v>
      </c>
      <c r="C19" s="12">
        <v>49</v>
      </c>
      <c r="D19" s="25">
        <v>9</v>
      </c>
      <c r="E19" s="26">
        <v>9</v>
      </c>
      <c r="F19" s="27">
        <v>14</v>
      </c>
      <c r="G19" s="28">
        <v>24</v>
      </c>
      <c r="H19" s="87"/>
      <c r="I19" s="7" t="s">
        <v>12</v>
      </c>
      <c r="J19" s="64">
        <v>0.28337499999999999</v>
      </c>
      <c r="K19" s="13">
        <v>20</v>
      </c>
    </row>
    <row r="20" spans="2:28" x14ac:dyDescent="0.3">
      <c r="B20" s="10" t="s">
        <v>12</v>
      </c>
      <c r="C20" s="12">
        <v>18</v>
      </c>
      <c r="D20" s="26">
        <v>10</v>
      </c>
      <c r="E20" s="26">
        <v>10</v>
      </c>
      <c r="F20" s="27">
        <v>10</v>
      </c>
      <c r="G20" s="28">
        <v>10</v>
      </c>
      <c r="H20" s="87"/>
    </row>
    <row r="21" spans="2:28" x14ac:dyDescent="0.3">
      <c r="B21" s="20" t="s">
        <v>13</v>
      </c>
      <c r="C21" s="53">
        <f>(((1-$J$15*(1-C16/$K$15))*(1-$J$16*(1-C17/$K$16))*(1-$J$17*(1-C18/$K$17))*(1-$J$18*(1-C19/$K$18))*(1-$J$19*(1-C20/$K$19)))-((1-$J$15)*(1-$J$16)*(1-$J$17)*(1-$J$18)*(1-$J$19)))/(1-((1-$J$15)*(1-$J$16)*(1-$J$17)*(1-$J$18)*(1-$J$19)))</f>
        <v>0.6086970844329419</v>
      </c>
      <c r="D21" s="53">
        <f>(((1-$J$15*(1-D16/$K$15))*(1-$J$16*(1-D17/$K$16))*(1-$J$17*(1-D18/$K$17))*(1-$J$18*(1-D19/$K$18))*(1-$J$19*(1-D20/$K$19)))-((1-$J$15)*(1-$J$16)*(1-$J$17)*(1-$J$18)*(1-$J$19)))/(1-((1-$J$15)*(1-$J$16)*(1-$J$17)*(1-$J$18)*(1-$J$19)))</f>
        <v>0.14606758782645746</v>
      </c>
      <c r="E21" s="53">
        <f>(((1-$J$15*(1-E16/$K$15))*(1-$J$16*(1-E17/$K$16))*(1-$J$17*(1-E18/$K$17))*(1-$J$18*(1-E19/$K$18))*(1-$J$19*(1-E20/$K$19)))-((1-$J$15)*(1-$J$16)*(1-$J$17)*(1-$J$18)*(1-$J$19)))/(1-((1-$J$15)*(1-$J$16)*(1-$J$17)*(1-$J$18)*(1-$J$19)))</f>
        <v>0.20882117286545568</v>
      </c>
      <c r="F21" s="53">
        <f>(((1-$J$15*(1-F16/$K$15))*(1-$J$16*(1-F17/$K$16))*(1-$J$17*(1-F18/$K$17))*(1-$J$18*(1-F19/$K$18))*(1-$J$19*(1-F20/$K$19)))-((1-$J$15)*(1-$J$16)*(1-$J$17)*(1-$J$18)*(1-$J$19)))/(1-((1-$J$15)*(1-$J$16)*(1-$J$17)*(1-$J$18)*(1-$J$19)))</f>
        <v>0.43046007325861041</v>
      </c>
      <c r="G21" s="53">
        <f>(((1-$J$15*(1-G16/$K$15))*(1-$J$16*(1-G17/$K$16))*(1-$J$17*(1-G18/$K$17))*(1-$J$18*(1-G19/$K$18))*(1-$J$19*(1-G20/$K$19)))-((1-$J$15)*(1-$J$16)*(1-$J$17)*(1-$J$18)*(1-$J$19)))/(1-((1-$J$15)*(1-$J$16)*(1-$J$17)*(1-$J$18)*(1-$J$19)))</f>
        <v>0.62147160015579861</v>
      </c>
      <c r="H21" s="19"/>
      <c r="I21" s="2"/>
      <c r="K21" s="2"/>
    </row>
    <row r="22" spans="2:28" x14ac:dyDescent="0.3">
      <c r="C22" s="158"/>
      <c r="D22" s="158"/>
      <c r="E22" s="15"/>
      <c r="F22" s="15"/>
      <c r="G22" s="15"/>
      <c r="K22" s="2"/>
      <c r="N22" s="2"/>
    </row>
    <row r="23" spans="2:28" x14ac:dyDescent="0.3">
      <c r="C23" s="158"/>
      <c r="D23" s="158"/>
      <c r="E23" s="165"/>
      <c r="F23" s="15"/>
      <c r="G23" s="15"/>
      <c r="K23" s="2"/>
    </row>
    <row r="24" spans="2:28" x14ac:dyDescent="0.3">
      <c r="B24" s="34" t="s">
        <v>31</v>
      </c>
      <c r="C24" s="140"/>
      <c r="D24" s="140"/>
      <c r="E24" s="140"/>
      <c r="F24" s="140"/>
      <c r="G24" s="140"/>
      <c r="H24" s="2"/>
      <c r="I24" s="2"/>
      <c r="J24" s="2"/>
      <c r="K24" s="2"/>
    </row>
    <row r="25" spans="2:28" x14ac:dyDescent="0.3">
      <c r="B25" s="2"/>
      <c r="C25" s="140"/>
      <c r="D25" s="140"/>
      <c r="E25" s="140"/>
      <c r="F25" s="140"/>
      <c r="G25" s="140"/>
      <c r="H25" s="2"/>
      <c r="I25" s="1" t="s">
        <v>100</v>
      </c>
      <c r="N25" s="1" t="s">
        <v>90</v>
      </c>
    </row>
    <row r="26" spans="2:28" ht="28.8" x14ac:dyDescent="0.3">
      <c r="B26" s="148"/>
      <c r="C26" s="149" t="s">
        <v>40</v>
      </c>
      <c r="D26" s="208" t="s">
        <v>41</v>
      </c>
      <c r="E26" s="209"/>
      <c r="F26" s="209"/>
      <c r="G26" s="210"/>
      <c r="H26" s="150"/>
      <c r="I26" s="151" t="s">
        <v>23</v>
      </c>
      <c r="J26" s="138" t="s">
        <v>69</v>
      </c>
      <c r="N26" s="136" t="s">
        <v>8</v>
      </c>
      <c r="O26" s="137" t="s">
        <v>92</v>
      </c>
      <c r="P26" s="138" t="s">
        <v>28</v>
      </c>
      <c r="Q26" s="136" t="s">
        <v>9</v>
      </c>
      <c r="R26" s="137" t="s">
        <v>92</v>
      </c>
      <c r="S26" s="138" t="s">
        <v>28</v>
      </c>
      <c r="T26" s="136" t="s">
        <v>10</v>
      </c>
      <c r="U26" s="137" t="s">
        <v>92</v>
      </c>
      <c r="V26" s="138" t="s">
        <v>28</v>
      </c>
      <c r="W26" s="136" t="s">
        <v>11</v>
      </c>
      <c r="X26" s="137" t="s">
        <v>92</v>
      </c>
      <c r="Y26" s="138" t="s">
        <v>28</v>
      </c>
      <c r="Z26" s="136" t="s">
        <v>12</v>
      </c>
      <c r="AA26" s="137" t="s">
        <v>93</v>
      </c>
      <c r="AB26" s="138" t="s">
        <v>28</v>
      </c>
    </row>
    <row r="27" spans="2:28" x14ac:dyDescent="0.3">
      <c r="B27" s="9"/>
      <c r="C27" s="30" t="s">
        <v>4</v>
      </c>
      <c r="D27" s="30" t="s">
        <v>4</v>
      </c>
      <c r="E27" s="30" t="s">
        <v>5</v>
      </c>
      <c r="F27" s="30" t="s">
        <v>6</v>
      </c>
      <c r="G27" s="30" t="s">
        <v>7</v>
      </c>
      <c r="H27" s="2"/>
      <c r="I27" s="16" t="s">
        <v>8</v>
      </c>
      <c r="J27" s="97">
        <v>15.883784620073987</v>
      </c>
      <c r="N27" s="139" t="s">
        <v>32</v>
      </c>
      <c r="O27" s="140">
        <v>0</v>
      </c>
      <c r="P27" s="11">
        <v>0</v>
      </c>
      <c r="Q27" s="139" t="s">
        <v>32</v>
      </c>
      <c r="R27" s="140">
        <v>0</v>
      </c>
      <c r="S27" s="11">
        <v>0</v>
      </c>
      <c r="T27" s="139" t="s">
        <v>32</v>
      </c>
      <c r="U27" s="140">
        <v>0</v>
      </c>
      <c r="V27" s="141">
        <v>0</v>
      </c>
      <c r="W27" s="139" t="s">
        <v>32</v>
      </c>
      <c r="X27" s="140">
        <v>0</v>
      </c>
      <c r="Y27" s="11">
        <v>0</v>
      </c>
      <c r="Z27" s="139" t="s">
        <v>32</v>
      </c>
      <c r="AA27" s="140">
        <v>0</v>
      </c>
      <c r="AB27" s="11">
        <v>0</v>
      </c>
    </row>
    <row r="28" spans="2:28" x14ac:dyDescent="0.3">
      <c r="B28" s="16" t="s">
        <v>8</v>
      </c>
      <c r="C28" s="162">
        <v>3.9709461550184968</v>
      </c>
      <c r="D28" s="162">
        <v>3.9709461550184968</v>
      </c>
      <c r="E28" s="162">
        <v>3.9709461550184968</v>
      </c>
      <c r="F28" s="162">
        <v>3.9709461550184968</v>
      </c>
      <c r="G28" s="162">
        <v>15.883784620073987</v>
      </c>
      <c r="H28" s="2"/>
      <c r="I28" s="16" t="s">
        <v>9</v>
      </c>
      <c r="J28" s="97">
        <v>15.883784620073987</v>
      </c>
      <c r="N28" s="139" t="s">
        <v>33</v>
      </c>
      <c r="O28" s="140" t="s">
        <v>101</v>
      </c>
      <c r="P28" s="97">
        <v>3.9709461550184968</v>
      </c>
      <c r="Q28" s="139" t="s">
        <v>33</v>
      </c>
      <c r="R28" s="140" t="s">
        <v>101</v>
      </c>
      <c r="S28" s="97">
        <v>3.9709461550184968</v>
      </c>
      <c r="T28" s="139" t="s">
        <v>33</v>
      </c>
      <c r="U28" s="140" t="s">
        <v>101</v>
      </c>
      <c r="V28" s="97">
        <v>3.9709461550184968</v>
      </c>
      <c r="W28" s="139" t="s">
        <v>33</v>
      </c>
      <c r="X28" s="142" t="s">
        <v>73</v>
      </c>
      <c r="Y28" s="97">
        <v>6.543580767472255</v>
      </c>
      <c r="Z28" s="139" t="s">
        <v>33</v>
      </c>
      <c r="AA28" s="143" t="s">
        <v>74</v>
      </c>
      <c r="AB28" s="97">
        <v>6.543580767472255</v>
      </c>
    </row>
    <row r="29" spans="2:28" x14ac:dyDescent="0.3">
      <c r="B29" s="16" t="s">
        <v>9</v>
      </c>
      <c r="C29" s="162">
        <v>7.9418923100369936</v>
      </c>
      <c r="D29" s="162">
        <v>3.9709461550184968</v>
      </c>
      <c r="E29" s="162">
        <v>3.9709461550184968</v>
      </c>
      <c r="F29" s="162">
        <v>15.883784620073987</v>
      </c>
      <c r="G29" s="162">
        <v>15.883784620073987</v>
      </c>
      <c r="H29" s="2"/>
      <c r="I29" s="16" t="s">
        <v>10</v>
      </c>
      <c r="J29" s="97">
        <v>15.883784620073987</v>
      </c>
      <c r="N29" s="139" t="s">
        <v>34</v>
      </c>
      <c r="O29" s="140" t="s">
        <v>102</v>
      </c>
      <c r="P29" s="97">
        <v>7.9418923100369936</v>
      </c>
      <c r="Q29" s="139" t="s">
        <v>34</v>
      </c>
      <c r="R29" s="140" t="s">
        <v>102</v>
      </c>
      <c r="S29" s="97">
        <v>7.9418923100369936</v>
      </c>
      <c r="T29" s="139" t="s">
        <v>34</v>
      </c>
      <c r="U29" s="140" t="s">
        <v>102</v>
      </c>
      <c r="V29" s="97">
        <v>7.9418923100369936</v>
      </c>
      <c r="W29" s="139" t="s">
        <v>34</v>
      </c>
      <c r="X29" s="140" t="s">
        <v>70</v>
      </c>
      <c r="Y29" s="97">
        <v>13.08716153494451</v>
      </c>
      <c r="Z29" s="139" t="s">
        <v>34</v>
      </c>
      <c r="AA29" s="144" t="s">
        <v>75</v>
      </c>
      <c r="AB29" s="97">
        <v>13.08716153494451</v>
      </c>
    </row>
    <row r="30" spans="2:28" x14ac:dyDescent="0.3">
      <c r="B30" s="16" t="s">
        <v>10</v>
      </c>
      <c r="C30" s="162">
        <v>7.9418923100369936</v>
      </c>
      <c r="D30" s="162">
        <v>3.9709461550184968</v>
      </c>
      <c r="E30" s="162">
        <v>7.9418923100369936</v>
      </c>
      <c r="F30" s="162">
        <v>15.883784620073987</v>
      </c>
      <c r="G30" s="162">
        <v>15.883784620073987</v>
      </c>
      <c r="H30" s="2"/>
      <c r="I30" s="16" t="s">
        <v>11</v>
      </c>
      <c r="J30" s="97">
        <v>26.17432306988902</v>
      </c>
      <c r="N30" s="139" t="s">
        <v>35</v>
      </c>
      <c r="O30" s="140" t="s">
        <v>103</v>
      </c>
      <c r="P30" s="97">
        <v>11.91283846505549</v>
      </c>
      <c r="Q30" s="139" t="s">
        <v>35</v>
      </c>
      <c r="R30" s="140" t="s">
        <v>103</v>
      </c>
      <c r="S30" s="97">
        <v>11.91283846505549</v>
      </c>
      <c r="T30" s="139" t="s">
        <v>35</v>
      </c>
      <c r="U30" s="140" t="s">
        <v>103</v>
      </c>
      <c r="V30" s="97">
        <v>11.91283846505549</v>
      </c>
      <c r="W30" s="139" t="s">
        <v>35</v>
      </c>
      <c r="X30" s="140" t="s">
        <v>71</v>
      </c>
      <c r="Y30" s="97">
        <v>19.630742302416763</v>
      </c>
      <c r="Z30" s="139" t="s">
        <v>35</v>
      </c>
      <c r="AA30" s="140" t="s">
        <v>76</v>
      </c>
      <c r="AB30" s="97">
        <v>19.630742302416763</v>
      </c>
    </row>
    <row r="31" spans="2:28" x14ac:dyDescent="0.3">
      <c r="B31" s="16" t="s">
        <v>11</v>
      </c>
      <c r="C31" s="162">
        <v>26.17432306988902</v>
      </c>
      <c r="D31" s="162">
        <v>6.543580767472255</v>
      </c>
      <c r="E31" s="162">
        <v>6.543580767472255</v>
      </c>
      <c r="F31" s="162">
        <v>6.543580767472255</v>
      </c>
      <c r="G31" s="162">
        <v>13.08716153494451</v>
      </c>
      <c r="H31" s="2"/>
      <c r="I31" s="16" t="s">
        <v>12</v>
      </c>
      <c r="J31" s="97">
        <v>26.17432306988902</v>
      </c>
      <c r="N31" s="145" t="s">
        <v>37</v>
      </c>
      <c r="O31" s="146" t="s">
        <v>104</v>
      </c>
      <c r="P31" s="98">
        <v>15.883784620073987</v>
      </c>
      <c r="Q31" s="145" t="s">
        <v>37</v>
      </c>
      <c r="R31" s="146" t="s">
        <v>104</v>
      </c>
      <c r="S31" s="98">
        <v>15.883784620073987</v>
      </c>
      <c r="T31" s="145" t="s">
        <v>37</v>
      </c>
      <c r="U31" s="146" t="s">
        <v>104</v>
      </c>
      <c r="V31" s="98">
        <v>15.883784620073987</v>
      </c>
      <c r="W31" s="145" t="s">
        <v>37</v>
      </c>
      <c r="X31" s="146" t="s">
        <v>72</v>
      </c>
      <c r="Y31" s="98">
        <v>26.17432306988902</v>
      </c>
      <c r="Z31" s="145" t="s">
        <v>37</v>
      </c>
      <c r="AA31" s="146" t="s">
        <v>77</v>
      </c>
      <c r="AB31" s="98">
        <v>26.17432306988902</v>
      </c>
    </row>
    <row r="32" spans="2:28" x14ac:dyDescent="0.3">
      <c r="B32" s="16" t="s">
        <v>12</v>
      </c>
      <c r="C32" s="162">
        <v>19.630742302416763</v>
      </c>
      <c r="D32" s="162">
        <v>13.08716153494451</v>
      </c>
      <c r="E32" s="162">
        <v>13.08716153494451</v>
      </c>
      <c r="F32" s="162">
        <v>13.08716153494451</v>
      </c>
      <c r="G32" s="162">
        <v>13.08716153494451</v>
      </c>
      <c r="H32" s="2"/>
      <c r="I32" s="134" t="s">
        <v>91</v>
      </c>
      <c r="J32" s="135">
        <f>SUM(J27:J31)</f>
        <v>100</v>
      </c>
    </row>
    <row r="33" spans="2:24" x14ac:dyDescent="0.3">
      <c r="B33" s="7" t="s">
        <v>13</v>
      </c>
      <c r="C33" s="164">
        <f>SUM(C28:C32)/100</f>
        <v>0.65659796147398264</v>
      </c>
      <c r="D33" s="164">
        <f>SUM(D28:D32)/100</f>
        <v>0.31543580767472251</v>
      </c>
      <c r="E33" s="164">
        <f t="shared" ref="E33:G33" si="0">SUM(E28:E32)/100</f>
        <v>0.35514526922490752</v>
      </c>
      <c r="F33" s="164">
        <f t="shared" si="0"/>
        <v>0.55369257697583241</v>
      </c>
      <c r="G33" s="164">
        <f t="shared" si="0"/>
        <v>0.73825676930110984</v>
      </c>
      <c r="H33" s="2"/>
      <c r="J33" s="3"/>
    </row>
    <row r="34" spans="2:24" x14ac:dyDescent="0.3">
      <c r="B34" s="2"/>
      <c r="C34" s="140"/>
      <c r="D34" s="140"/>
      <c r="E34" s="140"/>
      <c r="F34" s="140"/>
      <c r="G34" s="140"/>
      <c r="H34" s="2"/>
      <c r="I34" s="2"/>
      <c r="J34" s="2"/>
      <c r="K34" s="2"/>
    </row>
    <row r="35" spans="2:24" ht="14.4" customHeight="1" x14ac:dyDescent="0.3">
      <c r="B35" s="2"/>
      <c r="C35" s="140"/>
      <c r="D35" s="140"/>
      <c r="E35" s="140"/>
      <c r="F35" s="140"/>
      <c r="G35" s="140"/>
      <c r="H35" s="2"/>
      <c r="I35" s="178"/>
      <c r="J35" s="2"/>
      <c r="K35" s="2"/>
      <c r="V35" s="78"/>
    </row>
    <row r="36" spans="2:24" x14ac:dyDescent="0.3">
      <c r="B36" s="34" t="s">
        <v>107</v>
      </c>
      <c r="C36" s="140"/>
      <c r="D36" s="140"/>
      <c r="E36" s="140"/>
      <c r="F36" s="140"/>
      <c r="G36" s="140"/>
      <c r="H36" s="2"/>
      <c r="I36" s="177"/>
      <c r="K36" s="2"/>
      <c r="V36" s="175"/>
    </row>
    <row r="37" spans="2:24" x14ac:dyDescent="0.3">
      <c r="B37" s="2"/>
      <c r="C37" s="140"/>
      <c r="D37" s="140"/>
      <c r="E37" s="140"/>
      <c r="F37" s="140"/>
      <c r="G37" s="140"/>
      <c r="H37" s="2"/>
      <c r="I37" s="1" t="s">
        <v>118</v>
      </c>
      <c r="M37" s="2"/>
    </row>
    <row r="38" spans="2:24" x14ac:dyDescent="0.3">
      <c r="B38" s="22"/>
      <c r="C38" s="24" t="s">
        <v>40</v>
      </c>
      <c r="D38" s="202" t="s">
        <v>41</v>
      </c>
      <c r="E38" s="203"/>
      <c r="F38" s="203"/>
      <c r="G38" s="204"/>
      <c r="H38" s="2"/>
      <c r="J38" s="212" t="s">
        <v>108</v>
      </c>
      <c r="K38" s="212"/>
      <c r="L38" s="212"/>
      <c r="M38" s="185"/>
      <c r="N38" s="155" t="s">
        <v>115</v>
      </c>
      <c r="P38" s="2"/>
      <c r="R38" s="1" t="s">
        <v>116</v>
      </c>
      <c r="V38" s="4"/>
    </row>
    <row r="39" spans="2:24" ht="14.4" customHeight="1" x14ac:dyDescent="0.3">
      <c r="B39" s="22"/>
      <c r="C39" s="30" t="s">
        <v>4</v>
      </c>
      <c r="D39" s="30" t="s">
        <v>4</v>
      </c>
      <c r="E39" s="30" t="s">
        <v>5</v>
      </c>
      <c r="F39" s="30" t="s">
        <v>6</v>
      </c>
      <c r="G39" s="30" t="s">
        <v>7</v>
      </c>
      <c r="H39" s="2"/>
      <c r="I39" s="67" t="s">
        <v>117</v>
      </c>
      <c r="J39" s="179" t="s">
        <v>112</v>
      </c>
      <c r="K39" s="179" t="s">
        <v>113</v>
      </c>
      <c r="L39" s="179" t="s">
        <v>114</v>
      </c>
      <c r="M39" s="184"/>
      <c r="N39" s="59" t="s">
        <v>27</v>
      </c>
      <c r="O39" s="23" t="s">
        <v>48</v>
      </c>
      <c r="P39" s="58" t="s">
        <v>28</v>
      </c>
      <c r="R39" s="71" t="s">
        <v>42</v>
      </c>
      <c r="S39" s="71" t="s">
        <v>28</v>
      </c>
      <c r="T39" s="70" t="s">
        <v>47</v>
      </c>
      <c r="U39" s="3"/>
      <c r="W39" s="3"/>
      <c r="X39" s="16"/>
    </row>
    <row r="40" spans="2:24" x14ac:dyDescent="0.3">
      <c r="B40" s="10" t="s">
        <v>24</v>
      </c>
      <c r="C40" s="12">
        <v>2</v>
      </c>
      <c r="D40" s="12">
        <v>1</v>
      </c>
      <c r="E40" s="12">
        <v>1</v>
      </c>
      <c r="F40" s="12">
        <v>2</v>
      </c>
      <c r="G40" s="12">
        <v>2</v>
      </c>
      <c r="I40" s="180">
        <v>0</v>
      </c>
      <c r="J40" s="154">
        <v>0</v>
      </c>
      <c r="K40" s="154">
        <v>0</v>
      </c>
      <c r="L40" s="154">
        <v>0</v>
      </c>
      <c r="M40" s="182"/>
      <c r="N40" s="183">
        <v>0</v>
      </c>
      <c r="O40" s="113">
        <v>0</v>
      </c>
      <c r="P40" s="113">
        <v>0</v>
      </c>
      <c r="Q40" s="10"/>
      <c r="R40" s="12" t="s">
        <v>43</v>
      </c>
      <c r="S40" s="12">
        <v>2</v>
      </c>
      <c r="T40" s="72" t="s">
        <v>44</v>
      </c>
      <c r="U40" s="77"/>
      <c r="V40" s="77"/>
      <c r="W40" s="76"/>
    </row>
    <row r="41" spans="2:24" x14ac:dyDescent="0.3">
      <c r="B41" s="10" t="s">
        <v>26</v>
      </c>
      <c r="C41" s="12">
        <v>4</v>
      </c>
      <c r="D41" s="12">
        <v>4</v>
      </c>
      <c r="E41" s="12">
        <v>4</v>
      </c>
      <c r="F41" s="12">
        <v>4</v>
      </c>
      <c r="G41" s="12">
        <v>4</v>
      </c>
      <c r="I41" s="180" t="s">
        <v>109</v>
      </c>
      <c r="J41" s="154">
        <v>2</v>
      </c>
      <c r="K41" s="154">
        <v>4</v>
      </c>
      <c r="L41" s="154">
        <v>6</v>
      </c>
      <c r="M41" s="182"/>
      <c r="N41" s="6" t="s">
        <v>53</v>
      </c>
      <c r="O41" s="152" t="s">
        <v>55</v>
      </c>
      <c r="P41" s="113">
        <v>1</v>
      </c>
      <c r="R41" s="176" t="s">
        <v>45</v>
      </c>
      <c r="S41" s="176">
        <v>4</v>
      </c>
      <c r="T41" s="73" t="s">
        <v>87</v>
      </c>
      <c r="W41" s="147"/>
    </row>
    <row r="42" spans="2:24" x14ac:dyDescent="0.3">
      <c r="B42" s="10" t="s">
        <v>25</v>
      </c>
      <c r="C42" s="12">
        <f>C40*C41</f>
        <v>8</v>
      </c>
      <c r="D42" s="12">
        <f t="shared" ref="D42:G42" si="1">D40*D41</f>
        <v>4</v>
      </c>
      <c r="E42" s="12">
        <f t="shared" si="1"/>
        <v>4</v>
      </c>
      <c r="F42" s="12">
        <f t="shared" si="1"/>
        <v>8</v>
      </c>
      <c r="G42" s="12">
        <f t="shared" si="1"/>
        <v>8</v>
      </c>
      <c r="I42" s="180" t="s">
        <v>110</v>
      </c>
      <c r="J42" s="181">
        <v>4</v>
      </c>
      <c r="K42" s="176">
        <v>8</v>
      </c>
      <c r="L42" s="176">
        <v>12</v>
      </c>
      <c r="M42" s="12"/>
      <c r="N42" s="147" t="s">
        <v>52</v>
      </c>
      <c r="O42" s="153" t="s">
        <v>50</v>
      </c>
      <c r="P42" s="113">
        <v>2</v>
      </c>
      <c r="R42" s="186" t="s">
        <v>46</v>
      </c>
      <c r="S42" s="186">
        <v>6</v>
      </c>
      <c r="T42" s="74" t="s">
        <v>85</v>
      </c>
      <c r="U42" s="3"/>
      <c r="V42" s="3"/>
      <c r="W42" s="5"/>
    </row>
    <row r="43" spans="2:24" x14ac:dyDescent="0.3">
      <c r="B43" s="52" t="s">
        <v>29</v>
      </c>
      <c r="C43" s="164">
        <f>C42/($P$43*$S$42)</f>
        <v>0.44444444444444442</v>
      </c>
      <c r="D43" s="164">
        <f>D42/($P$43*$S$42)</f>
        <v>0.22222222222222221</v>
      </c>
      <c r="E43" s="164">
        <f>E42/($P$43*$S$42)</f>
        <v>0.22222222222222221</v>
      </c>
      <c r="F43" s="164">
        <f>F42/($P$43*$S$42)</f>
        <v>0.44444444444444442</v>
      </c>
      <c r="G43" s="164">
        <f>G42/($P$43*$S$42)</f>
        <v>0.44444444444444442</v>
      </c>
      <c r="I43" s="180" t="s">
        <v>111</v>
      </c>
      <c r="J43" s="181">
        <v>6</v>
      </c>
      <c r="K43" s="176">
        <v>12</v>
      </c>
      <c r="L43" s="176">
        <v>18</v>
      </c>
      <c r="M43" s="12"/>
      <c r="N43" s="6" t="s">
        <v>51</v>
      </c>
      <c r="O43" s="154" t="s">
        <v>49</v>
      </c>
      <c r="P43" s="13">
        <v>3</v>
      </c>
      <c r="Q43" s="10"/>
      <c r="R43" s="187"/>
      <c r="S43" s="187"/>
      <c r="T43" s="75" t="s">
        <v>86</v>
      </c>
      <c r="U43" s="2"/>
      <c r="W43" s="6"/>
    </row>
    <row r="44" spans="2:24" x14ac:dyDescent="0.3">
      <c r="B44" s="2"/>
      <c r="U44" s="3"/>
      <c r="V44" s="3"/>
      <c r="W44" s="3"/>
    </row>
    <row r="45" spans="2:24" x14ac:dyDescent="0.3">
      <c r="B45" s="2"/>
      <c r="C45" s="78"/>
      <c r="D45" s="78"/>
      <c r="E45" s="78"/>
      <c r="F45" s="78"/>
      <c r="G45" s="78"/>
    </row>
    <row r="46" spans="2:24" x14ac:dyDescent="0.3">
      <c r="B46" s="2"/>
      <c r="F46" s="78"/>
      <c r="I46" s="1"/>
    </row>
    <row r="47" spans="2:24" x14ac:dyDescent="0.3">
      <c r="B47" s="57" t="s">
        <v>30</v>
      </c>
    </row>
    <row r="48" spans="2:24" x14ac:dyDescent="0.3">
      <c r="B48" s="2"/>
      <c r="C48" s="2"/>
      <c r="D48" s="2"/>
      <c r="E48" s="2"/>
      <c r="I48" s="206" t="s">
        <v>56</v>
      </c>
      <c r="J48" s="211"/>
      <c r="K48" s="207"/>
    </row>
    <row r="49" spans="2:14" x14ac:dyDescent="0.3">
      <c r="B49" s="24" t="s">
        <v>4</v>
      </c>
      <c r="C49" s="24" t="s">
        <v>40</v>
      </c>
      <c r="D49" s="39" t="s">
        <v>41</v>
      </c>
      <c r="E49" s="2"/>
      <c r="F49" s="2"/>
      <c r="G49" s="2"/>
      <c r="H49" s="2"/>
      <c r="I49" s="16" t="s">
        <v>57</v>
      </c>
      <c r="J49" t="s">
        <v>58</v>
      </c>
      <c r="K49" s="5" t="s">
        <v>59</v>
      </c>
    </row>
    <row r="50" spans="2:14" x14ac:dyDescent="0.3">
      <c r="B50" s="42" t="s">
        <v>16</v>
      </c>
      <c r="C50" s="41">
        <f>C21</f>
        <v>0.6086970844329419</v>
      </c>
      <c r="D50" s="40">
        <f>D21</f>
        <v>0.14606758782645746</v>
      </c>
      <c r="E50" s="2"/>
      <c r="F50" s="2"/>
      <c r="I50" s="80">
        <v>2947</v>
      </c>
      <c r="J50" s="81">
        <v>3447.2</v>
      </c>
      <c r="K50" s="82">
        <v>4447.2</v>
      </c>
    </row>
    <row r="51" spans="2:14" x14ac:dyDescent="0.3">
      <c r="B51" s="44" t="s">
        <v>17</v>
      </c>
      <c r="C51" s="45">
        <f>C33</f>
        <v>0.65659796147398264</v>
      </c>
      <c r="D51" s="45">
        <f>D33</f>
        <v>0.31543580767472251</v>
      </c>
      <c r="E51" s="2"/>
    </row>
    <row r="52" spans="2:14" x14ac:dyDescent="0.3">
      <c r="B52" s="43" t="s">
        <v>106</v>
      </c>
      <c r="C52" s="54">
        <f>C43</f>
        <v>0.44444444444444442</v>
      </c>
      <c r="D52" s="55">
        <f>D43</f>
        <v>0.22222222222222221</v>
      </c>
      <c r="E52" s="2"/>
      <c r="I52" s="206" t="s">
        <v>21</v>
      </c>
      <c r="J52" s="207"/>
    </row>
    <row r="53" spans="2:14" x14ac:dyDescent="0.3">
      <c r="B53" s="2"/>
      <c r="C53" s="19"/>
      <c r="D53" s="19"/>
      <c r="E53" s="2"/>
      <c r="F53" s="2"/>
      <c r="G53" s="2"/>
      <c r="H53" s="2"/>
      <c r="I53" s="60" t="s">
        <v>19</v>
      </c>
      <c r="J53" s="61" t="s">
        <v>20</v>
      </c>
    </row>
    <row r="54" spans="2:14" x14ac:dyDescent="0.3">
      <c r="B54" s="2"/>
      <c r="C54" s="19"/>
      <c r="D54" s="2"/>
      <c r="E54" s="2"/>
      <c r="I54" s="38">
        <f>3.5/100</f>
        <v>3.5000000000000003E-2</v>
      </c>
      <c r="J54" s="37">
        <v>30</v>
      </c>
    </row>
    <row r="55" spans="2:14" x14ac:dyDescent="0.3">
      <c r="B55" s="33" t="s">
        <v>18</v>
      </c>
      <c r="C55" s="2"/>
      <c r="D55" s="2"/>
      <c r="E55" s="2"/>
    </row>
    <row r="56" spans="2:14" x14ac:dyDescent="0.3">
      <c r="C56" s="2"/>
      <c r="D56" s="2"/>
      <c r="E56" s="2"/>
    </row>
    <row r="57" spans="2:14" x14ac:dyDescent="0.3">
      <c r="B57" s="46" t="s">
        <v>5</v>
      </c>
      <c r="C57" s="39" t="s">
        <v>1</v>
      </c>
      <c r="D57" s="47" t="s">
        <v>2</v>
      </c>
      <c r="E57" s="47" t="s">
        <v>105</v>
      </c>
      <c r="F57" s="47" t="s">
        <v>60</v>
      </c>
      <c r="G57" s="47" t="s">
        <v>22</v>
      </c>
      <c r="H57" s="24" t="s">
        <v>97</v>
      </c>
      <c r="N57" s="2"/>
    </row>
    <row r="58" spans="2:14" x14ac:dyDescent="0.3">
      <c r="B58" s="44" t="s">
        <v>16</v>
      </c>
      <c r="C58" s="45">
        <f>E21</f>
        <v>0.20882117286545568</v>
      </c>
      <c r="D58" s="45">
        <f>C58-$D$50</f>
        <v>6.2753585038998222E-2</v>
      </c>
      <c r="E58" s="48">
        <f>$C$50/D58</f>
        <v>9.6997977733808671</v>
      </c>
      <c r="F58" s="83">
        <f>E58*$I$50</f>
        <v>28585.304038153416</v>
      </c>
      <c r="G58" s="157">
        <f>$C$50/(D58*(1+$I$54)^-$J$54)</f>
        <v>27.225331327213983</v>
      </c>
      <c r="H58" s="157">
        <f>$C$50/(D58*(1+$I$54)^-$J$54)</f>
        <v>27.225331327213983</v>
      </c>
      <c r="J58" s="133"/>
      <c r="N58" s="2"/>
    </row>
    <row r="59" spans="2:14" x14ac:dyDescent="0.3">
      <c r="B59" s="44" t="s">
        <v>17</v>
      </c>
      <c r="C59" s="45">
        <f>E33</f>
        <v>0.35514526922490752</v>
      </c>
      <c r="D59" s="45">
        <f>C59-$D$51</f>
        <v>3.970946155018501E-2</v>
      </c>
      <c r="E59" s="48">
        <f>$C$51/D59</f>
        <v>16.53505073706857</v>
      </c>
      <c r="F59" s="83">
        <f>E59*$I$50</f>
        <v>48728.794522141077</v>
      </c>
      <c r="G59" s="23"/>
      <c r="H59" s="157">
        <f>($C$51/D59)*1.5</f>
        <v>24.802576105602853</v>
      </c>
      <c r="N59" s="2"/>
    </row>
    <row r="60" spans="2:14" x14ac:dyDescent="0.3">
      <c r="B60" s="44" t="s">
        <v>106</v>
      </c>
      <c r="C60" s="45">
        <f>E43</f>
        <v>0.22222222222222221</v>
      </c>
      <c r="D60" s="45">
        <f>C60-$D$52</f>
        <v>0</v>
      </c>
      <c r="E60" s="49" t="s">
        <v>0</v>
      </c>
      <c r="F60" s="159" t="s">
        <v>0</v>
      </c>
      <c r="G60" s="50" t="s">
        <v>0</v>
      </c>
      <c r="H60" s="50" t="s">
        <v>0</v>
      </c>
      <c r="K60" s="78"/>
    </row>
    <row r="61" spans="2:14" x14ac:dyDescent="0.3">
      <c r="B61" s="3"/>
      <c r="C61" s="51"/>
      <c r="D61" s="51"/>
      <c r="E61" s="3"/>
      <c r="F61" s="160"/>
      <c r="G61" s="3"/>
      <c r="H61" s="3"/>
    </row>
    <row r="62" spans="2:14" x14ac:dyDescent="0.3">
      <c r="B62" s="56" t="s">
        <v>6</v>
      </c>
      <c r="D62" s="4"/>
      <c r="E62" s="2"/>
      <c r="F62" s="161"/>
    </row>
    <row r="63" spans="2:14" x14ac:dyDescent="0.3">
      <c r="B63" s="44" t="s">
        <v>16</v>
      </c>
      <c r="C63" s="45">
        <f>F21</f>
        <v>0.43046007325861041</v>
      </c>
      <c r="D63" s="45">
        <f>C63-$D$50</f>
        <v>0.28439248543215295</v>
      </c>
      <c r="E63" s="48">
        <f>$C$50/D63</f>
        <v>2.1403416602516305</v>
      </c>
      <c r="F63" s="83">
        <f>E63*$J$50</f>
        <v>7378.1857712194205</v>
      </c>
      <c r="G63" s="157">
        <f>$C$50/(D63*(1+$I$54)^-$J$54)</f>
        <v>6.0074974979070452</v>
      </c>
      <c r="H63" s="157">
        <f>$C$50/(D63*(1+$I$54)^-$J$54)</f>
        <v>6.0074974979070452</v>
      </c>
      <c r="J63" s="133"/>
    </row>
    <row r="64" spans="2:14" x14ac:dyDescent="0.3">
      <c r="B64" s="44" t="s">
        <v>17</v>
      </c>
      <c r="C64" s="45">
        <f>F33</f>
        <v>0.55369257697583241</v>
      </c>
      <c r="D64" s="45">
        <f>C64-$D$51</f>
        <v>0.23825676930110989</v>
      </c>
      <c r="E64" s="48">
        <f>$C$51/D64</f>
        <v>2.7558417895114302</v>
      </c>
      <c r="F64" s="83">
        <f>E64*$J$50</f>
        <v>9499.937816803802</v>
      </c>
      <c r="G64" s="113"/>
      <c r="H64" s="157">
        <f>($C$51/D64)*1.5</f>
        <v>4.1337626842671451</v>
      </c>
    </row>
    <row r="65" spans="2:10" x14ac:dyDescent="0.3">
      <c r="B65" s="44" t="s">
        <v>106</v>
      </c>
      <c r="C65" s="45">
        <f>F43</f>
        <v>0.44444444444444442</v>
      </c>
      <c r="D65" s="45">
        <f>C65-$D$52</f>
        <v>0.22222222222222221</v>
      </c>
      <c r="E65" s="48">
        <f>$C$52/D65</f>
        <v>2</v>
      </c>
      <c r="F65" s="83">
        <f>E65*$J$50</f>
        <v>6894.4</v>
      </c>
      <c r="G65" s="157">
        <f>$C$52/(D65*0.343)</f>
        <v>5.8309037900874632</v>
      </c>
      <c r="H65" s="157">
        <f>$C$52/(D65*0.343*0.67*1)</f>
        <v>8.7028414777424814</v>
      </c>
      <c r="J65" s="17"/>
    </row>
    <row r="66" spans="2:10" x14ac:dyDescent="0.3">
      <c r="C66" s="2"/>
      <c r="D66" s="2"/>
      <c r="E66" s="2"/>
      <c r="F66" s="161"/>
      <c r="G66" s="158"/>
      <c r="H66" s="158"/>
    </row>
    <row r="67" spans="2:10" x14ac:dyDescent="0.3">
      <c r="B67" s="36" t="s">
        <v>7</v>
      </c>
      <c r="C67" s="2"/>
      <c r="D67" s="2"/>
      <c r="E67" s="2"/>
      <c r="F67" s="161"/>
      <c r="G67" s="158"/>
      <c r="H67" s="158"/>
    </row>
    <row r="68" spans="2:10" x14ac:dyDescent="0.3">
      <c r="B68" s="44" t="s">
        <v>16</v>
      </c>
      <c r="C68" s="45">
        <f>G21</f>
        <v>0.62147160015579861</v>
      </c>
      <c r="D68" s="45">
        <f>C68-$D$50</f>
        <v>0.47540401232934115</v>
      </c>
      <c r="E68" s="48">
        <f>C50/D68</f>
        <v>1.2803785173173099</v>
      </c>
      <c r="F68" s="83">
        <f>E68*$K$50</f>
        <v>5694.0993422135407</v>
      </c>
      <c r="G68" s="157">
        <f>$C$50/(D68*(1+$I$54)^-$J$54)</f>
        <v>3.5937583620427089</v>
      </c>
      <c r="H68" s="157">
        <f>$C$50/(D68*(1+$I$54)^-$J$54)</f>
        <v>3.5937583620427089</v>
      </c>
      <c r="J68" s="17"/>
    </row>
    <row r="69" spans="2:10" x14ac:dyDescent="0.3">
      <c r="B69" s="44" t="s">
        <v>17</v>
      </c>
      <c r="C69" s="45">
        <f>G33</f>
        <v>0.73825676930110984</v>
      </c>
      <c r="D69" s="45">
        <f>C69-$D$51</f>
        <v>0.42282096162638733</v>
      </c>
      <c r="E69" s="48">
        <f>$C$51/D69</f>
        <v>1.5528983211910037</v>
      </c>
      <c r="F69" s="83">
        <f>E69*$K$50</f>
        <v>6906.0494140006313</v>
      </c>
      <c r="G69" s="113"/>
      <c r="H69" s="157">
        <f>($C$51/D69)*1.5</f>
        <v>2.3293474817865056</v>
      </c>
      <c r="J69" s="2"/>
    </row>
    <row r="70" spans="2:10" x14ac:dyDescent="0.3">
      <c r="B70" s="44" t="s">
        <v>106</v>
      </c>
      <c r="C70" s="45">
        <f>G43</f>
        <v>0.44444444444444442</v>
      </c>
      <c r="D70" s="45">
        <f>C70-$D$52</f>
        <v>0.22222222222222221</v>
      </c>
      <c r="E70" s="48">
        <f>$C$52/D70</f>
        <v>2</v>
      </c>
      <c r="F70" s="83">
        <f>E70*$K$50</f>
        <v>8894.4</v>
      </c>
      <c r="G70" s="157">
        <f>$C$52/(D70*0.343)</f>
        <v>5.8309037900874632</v>
      </c>
      <c r="H70" s="157">
        <f>$C$52/(D70*0.343*0.67*1)</f>
        <v>8.7028414777424814</v>
      </c>
      <c r="J70" s="17"/>
    </row>
    <row r="71" spans="2:10" x14ac:dyDescent="0.3">
      <c r="B71" s="2"/>
      <c r="C71" s="2"/>
    </row>
    <row r="72" spans="2:10" x14ac:dyDescent="0.3">
      <c r="B72" s="2"/>
      <c r="C72" s="2"/>
      <c r="D72" s="2"/>
      <c r="E72" s="2"/>
    </row>
    <row r="73" spans="2:10" x14ac:dyDescent="0.3">
      <c r="B73" s="2"/>
      <c r="C73" s="34"/>
      <c r="D73" s="21"/>
      <c r="E73" s="2"/>
      <c r="G73" s="2"/>
    </row>
    <row r="74" spans="2:10" s="4" customFormat="1" x14ac:dyDescent="0.3">
      <c r="D74" s="155"/>
      <c r="E74" s="156"/>
      <c r="F74" s="156"/>
      <c r="G74" s="156"/>
    </row>
    <row r="75" spans="2:10" x14ac:dyDescent="0.3">
      <c r="B75" s="35"/>
      <c r="C75" s="2"/>
      <c r="F75" s="17"/>
      <c r="G75" s="2"/>
    </row>
    <row r="76" spans="2:10" x14ac:dyDescent="0.3">
      <c r="B76" s="35"/>
      <c r="C76" s="2"/>
      <c r="F76" s="17"/>
      <c r="G76" s="2"/>
    </row>
    <row r="77" spans="2:10" x14ac:dyDescent="0.3">
      <c r="B77" s="90" t="s">
        <v>94</v>
      </c>
      <c r="C77" s="2"/>
      <c r="F77" s="17"/>
      <c r="G77" s="2"/>
    </row>
    <row r="78" spans="2:10" x14ac:dyDescent="0.3">
      <c r="B78" s="90"/>
      <c r="C78" s="2"/>
      <c r="F78" s="17"/>
      <c r="G78" s="2"/>
    </row>
    <row r="79" spans="2:10" x14ac:dyDescent="0.3">
      <c r="B79" s="34" t="s">
        <v>3</v>
      </c>
      <c r="C79" s="2"/>
      <c r="F79" s="17"/>
      <c r="G79" s="2"/>
    </row>
    <row r="80" spans="2:10" x14ac:dyDescent="0.3">
      <c r="B80" s="90"/>
      <c r="C80" s="2"/>
      <c r="F80" s="17"/>
      <c r="G80" s="2"/>
    </row>
    <row r="81" spans="2:7" x14ac:dyDescent="0.3">
      <c r="B81" s="23"/>
      <c r="C81" s="202" t="s">
        <v>95</v>
      </c>
      <c r="D81" s="204"/>
      <c r="E81" s="202" t="s">
        <v>96</v>
      </c>
      <c r="F81" s="204"/>
      <c r="G81" s="2"/>
    </row>
    <row r="82" spans="2:7" x14ac:dyDescent="0.3">
      <c r="B82" s="10" t="s">
        <v>8</v>
      </c>
      <c r="C82" s="29">
        <v>0</v>
      </c>
      <c r="D82" s="169">
        <v>26</v>
      </c>
      <c r="E82" s="168">
        <v>26</v>
      </c>
      <c r="F82" s="169">
        <v>0</v>
      </c>
      <c r="G82" s="2"/>
    </row>
    <row r="83" spans="2:7" x14ac:dyDescent="0.3">
      <c r="B83" s="10" t="s">
        <v>9</v>
      </c>
      <c r="C83" s="29">
        <v>26</v>
      </c>
      <c r="D83" s="170">
        <v>26</v>
      </c>
      <c r="E83" s="12">
        <v>0</v>
      </c>
      <c r="F83" s="170">
        <v>0</v>
      </c>
      <c r="G83" s="2"/>
    </row>
    <row r="84" spans="2:7" x14ac:dyDescent="0.3">
      <c r="B84" s="10" t="s">
        <v>10</v>
      </c>
      <c r="C84" s="29">
        <v>26</v>
      </c>
      <c r="D84" s="170">
        <v>26</v>
      </c>
      <c r="E84" s="12">
        <v>0</v>
      </c>
      <c r="F84" s="170">
        <v>0</v>
      </c>
      <c r="G84" s="2"/>
    </row>
    <row r="85" spans="2:7" x14ac:dyDescent="0.3">
      <c r="B85" s="10" t="s">
        <v>11</v>
      </c>
      <c r="C85" s="12">
        <v>50</v>
      </c>
      <c r="D85" s="170">
        <v>0</v>
      </c>
      <c r="E85" s="12">
        <v>0</v>
      </c>
      <c r="F85" s="170">
        <v>50</v>
      </c>
      <c r="G85" s="2"/>
    </row>
    <row r="86" spans="2:7" x14ac:dyDescent="0.3">
      <c r="B86" s="10" t="s">
        <v>12</v>
      </c>
      <c r="C86" s="12">
        <v>20</v>
      </c>
      <c r="D86" s="170">
        <v>20</v>
      </c>
      <c r="E86" s="12">
        <v>0</v>
      </c>
      <c r="F86" s="170">
        <v>0</v>
      </c>
      <c r="G86" s="2"/>
    </row>
    <row r="87" spans="2:7" x14ac:dyDescent="0.3">
      <c r="B87" s="20" t="s">
        <v>13</v>
      </c>
      <c r="C87" s="53">
        <f>(((1-$J$15*(1-C82/$K$15))*(1-$J$16*(1-C83/$K$16))*(1-$J$17*(1-C84/$K$17))*(1-$J$18*(1-C85/$K$18))*(1-$J$19*(1-C86/$K$19)))-((1-$J$15)*(1-$J$16)*(1-$J$17)*(1-$J$18)*(1-$J$19)))/(1-((1-$J$15)*(1-$J$16)*(1-$J$17)*(1-$J$18)*(1-$J$19)))</f>
        <v>0.7572619640400603</v>
      </c>
      <c r="D87" s="53">
        <f>(((1-$J$15*(1-D82/$K$15))*(1-$J$16*(1-D83/$K$16))*(1-$J$17*(1-D84/$K$17))*(1-$J$18*(1-D85/$K$18))*(1-$J$19*(1-D86/$K$19)))-((1-$J$15)*(1-$J$16)*(1-$J$17)*(1-$J$18)*(1-$J$19)))/(1-((1-$J$15)*(1-$J$16)*(1-$J$17)*(1-$J$18)*(1-$J$19)))</f>
        <v>0.60000063419795968</v>
      </c>
      <c r="E87" s="53">
        <f>(((1-$J$15*(1-E82/$K$15))*(1-$J$16*(1-E83/$K$16))*(1-$J$17*(1-E84/$K$17))*(1-$J$18*(1-E85/$K$18))*(1-$J$19*(1-E86/$K$19)))-((1-$J$15)*(1-$J$16)*(1-$J$17)*(1-$J$18)*(1-$J$19)))/(1-((1-$J$15)*(1-$J$16)*(1-$J$17)*(1-$J$18)*(1-$J$19)))</f>
        <v>8.5471068203565773E-2</v>
      </c>
      <c r="F87" s="53">
        <f>(((1-$J$15*(1-F82/$K$15))*(1-$J$16*(1-F83/$K$16))*(1-$J$17*(1-F84/$K$17))*(1-$J$18*(1-F85/$K$18))*(1-$J$19*(1-F86/$K$19)))-((1-$J$15)*(1-$J$16)*(1-$J$17)*(1-$J$18)*(1-$J$19)))/(1-((1-$J$15)*(1-$J$16)*(1-$J$17)*(1-$J$18)*(1-$J$19)))</f>
        <v>0.16274113490603914</v>
      </c>
      <c r="G87" s="2"/>
    </row>
    <row r="88" spans="2:7" x14ac:dyDescent="0.3">
      <c r="B88" s="35"/>
      <c r="C88" s="2"/>
      <c r="F88" s="17"/>
      <c r="G88" s="2"/>
    </row>
    <row r="89" spans="2:7" x14ac:dyDescent="0.3">
      <c r="B89" s="35"/>
      <c r="C89" s="2"/>
      <c r="F89" s="17"/>
      <c r="G89" s="2"/>
    </row>
    <row r="90" spans="2:7" x14ac:dyDescent="0.3">
      <c r="B90" s="34" t="s">
        <v>31</v>
      </c>
      <c r="C90" s="2"/>
      <c r="F90" s="17"/>
      <c r="G90" s="2"/>
    </row>
    <row r="91" spans="2:7" x14ac:dyDescent="0.3">
      <c r="B91" s="34"/>
      <c r="C91" s="2"/>
      <c r="F91" s="17"/>
      <c r="G91" s="2"/>
    </row>
    <row r="92" spans="2:7" x14ac:dyDescent="0.3">
      <c r="B92" s="46"/>
      <c r="C92" s="202" t="s">
        <v>95</v>
      </c>
      <c r="D92" s="204"/>
      <c r="E92" s="202" t="s">
        <v>96</v>
      </c>
      <c r="F92" s="204"/>
      <c r="G92" s="2"/>
    </row>
    <row r="93" spans="2:7" x14ac:dyDescent="0.3">
      <c r="B93" s="16" t="s">
        <v>8</v>
      </c>
      <c r="C93" s="172">
        <v>0</v>
      </c>
      <c r="D93" s="171">
        <v>15.883784620073987</v>
      </c>
      <c r="E93" s="168">
        <v>15.88</v>
      </c>
      <c r="F93" s="169">
        <v>0</v>
      </c>
      <c r="G93" s="2"/>
    </row>
    <row r="94" spans="2:7" x14ac:dyDescent="0.3">
      <c r="B94" s="16" t="s">
        <v>9</v>
      </c>
      <c r="C94" s="162">
        <v>15.883784620073987</v>
      </c>
      <c r="D94" s="162">
        <v>15.883784620073987</v>
      </c>
      <c r="E94" s="12">
        <v>0</v>
      </c>
      <c r="F94" s="170">
        <v>0</v>
      </c>
      <c r="G94" s="2"/>
    </row>
    <row r="95" spans="2:7" x14ac:dyDescent="0.3">
      <c r="B95" s="16" t="s">
        <v>10</v>
      </c>
      <c r="C95" s="162">
        <v>15.883784620073987</v>
      </c>
      <c r="D95" s="162">
        <v>15.883784620073987</v>
      </c>
      <c r="E95" s="12">
        <v>0</v>
      </c>
      <c r="F95" s="170">
        <v>0</v>
      </c>
      <c r="G95" s="2"/>
    </row>
    <row r="96" spans="2:7" x14ac:dyDescent="0.3">
      <c r="B96" s="16" t="s">
        <v>11</v>
      </c>
      <c r="C96" s="162">
        <v>26.17432306988902</v>
      </c>
      <c r="D96" s="29">
        <v>0</v>
      </c>
      <c r="E96" s="12">
        <v>0</v>
      </c>
      <c r="F96" s="170">
        <v>26.17</v>
      </c>
      <c r="G96" s="2"/>
    </row>
    <row r="97" spans="2:11" x14ac:dyDescent="0.3">
      <c r="B97" s="16" t="s">
        <v>12</v>
      </c>
      <c r="C97" s="162">
        <v>26.17432306988902</v>
      </c>
      <c r="D97" s="162">
        <v>26.17432306988902</v>
      </c>
      <c r="E97" s="12">
        <v>0</v>
      </c>
      <c r="F97" s="170">
        <v>0</v>
      </c>
      <c r="G97" s="2"/>
    </row>
    <row r="98" spans="2:11" x14ac:dyDescent="0.3">
      <c r="B98" s="7" t="s">
        <v>13</v>
      </c>
      <c r="C98" s="164">
        <f>SUM(C93:C97)/100</f>
        <v>0.84116215379926018</v>
      </c>
      <c r="D98" s="164">
        <f>SUM(D93:D97)/100</f>
        <v>0.73825676930110973</v>
      </c>
      <c r="E98" s="164">
        <f>SUM(E93:E97)/100</f>
        <v>0.1588</v>
      </c>
      <c r="F98" s="164">
        <f>SUM(F93:F97)/100</f>
        <v>0.26170000000000004</v>
      </c>
      <c r="G98" s="2"/>
    </row>
    <row r="99" spans="2:11" x14ac:dyDescent="0.3">
      <c r="B99" s="2"/>
      <c r="C99" s="173"/>
      <c r="D99" s="173"/>
      <c r="E99" s="165"/>
      <c r="F99" s="173"/>
      <c r="G99" s="2"/>
    </row>
    <row r="100" spans="2:11" s="4" customFormat="1" x14ac:dyDescent="0.3">
      <c r="B100" s="56"/>
      <c r="F100" s="167"/>
    </row>
    <row r="101" spans="2:11" x14ac:dyDescent="0.3">
      <c r="B101" s="35"/>
      <c r="C101" s="2"/>
      <c r="F101" s="17"/>
      <c r="G101" s="2"/>
    </row>
    <row r="102" spans="2:11" x14ac:dyDescent="0.3">
      <c r="B102" s="35"/>
      <c r="C102" s="2"/>
      <c r="D102" s="18"/>
      <c r="E102" s="2"/>
      <c r="F102" s="2"/>
      <c r="G102" s="18"/>
      <c r="I102" s="15"/>
    </row>
    <row r="103" spans="2:11" x14ac:dyDescent="0.3">
      <c r="B103" s="90" t="s">
        <v>62</v>
      </c>
      <c r="C103" s="2"/>
      <c r="F103" s="17"/>
      <c r="G103" s="2"/>
      <c r="I103" s="15"/>
    </row>
    <row r="104" spans="2:11" x14ac:dyDescent="0.3">
      <c r="B104" s="35"/>
      <c r="C104" s="2"/>
      <c r="D104" s="18"/>
      <c r="E104" s="2"/>
      <c r="G104" s="2"/>
      <c r="I104" s="15"/>
    </row>
    <row r="105" spans="2:11" x14ac:dyDescent="0.3">
      <c r="B105" s="34" t="s">
        <v>3</v>
      </c>
      <c r="C105" s="2"/>
      <c r="F105" s="17"/>
      <c r="I105" s="15"/>
    </row>
    <row r="106" spans="2:11" ht="15" thickBot="1" x14ac:dyDescent="0.35">
      <c r="B106" s="35"/>
      <c r="C106" s="2"/>
      <c r="D106" s="18"/>
      <c r="E106" s="2"/>
      <c r="F106" s="2"/>
      <c r="G106" s="2"/>
      <c r="I106" s="15"/>
    </row>
    <row r="107" spans="2:11" ht="15" thickBot="1" x14ac:dyDescent="0.35">
      <c r="B107" s="47"/>
      <c r="C107" s="24" t="s">
        <v>40</v>
      </c>
      <c r="D107" s="202" t="s">
        <v>41</v>
      </c>
      <c r="E107" s="203"/>
      <c r="F107" s="203"/>
      <c r="G107" s="204"/>
      <c r="I107" s="67" t="s">
        <v>23</v>
      </c>
      <c r="J107" s="103" t="s">
        <v>14</v>
      </c>
      <c r="K107" s="59" t="s">
        <v>15</v>
      </c>
    </row>
    <row r="108" spans="2:11" x14ac:dyDescent="0.3">
      <c r="B108" s="22"/>
      <c r="C108" s="30" t="s">
        <v>4</v>
      </c>
      <c r="D108" s="31" t="s">
        <v>4</v>
      </c>
      <c r="E108" s="32" t="s">
        <v>5</v>
      </c>
      <c r="F108" s="30" t="s">
        <v>6</v>
      </c>
      <c r="G108" s="30" t="s">
        <v>7</v>
      </c>
      <c r="I108" s="16" t="s">
        <v>8</v>
      </c>
      <c r="J108" s="12">
        <v>6.5000000000000002E-2</v>
      </c>
      <c r="K108" s="11">
        <v>26</v>
      </c>
    </row>
    <row r="109" spans="2:11" x14ac:dyDescent="0.3">
      <c r="B109" s="10" t="s">
        <v>8</v>
      </c>
      <c r="C109" s="29">
        <v>14.1</v>
      </c>
      <c r="D109" s="25">
        <v>3</v>
      </c>
      <c r="E109" s="26">
        <v>6.57</v>
      </c>
      <c r="F109" s="27">
        <v>6.57</v>
      </c>
      <c r="G109" s="28">
        <v>26</v>
      </c>
      <c r="H109" s="87"/>
      <c r="I109" s="16" t="s">
        <v>9</v>
      </c>
      <c r="J109" s="12">
        <v>6.5000000000000002E-2</v>
      </c>
      <c r="K109" s="11">
        <v>26</v>
      </c>
    </row>
    <row r="110" spans="2:11" x14ac:dyDescent="0.3">
      <c r="B110" s="10" t="s">
        <v>9</v>
      </c>
      <c r="C110" s="29">
        <v>10.9</v>
      </c>
      <c r="D110" s="26">
        <v>2.6</v>
      </c>
      <c r="E110" s="26">
        <v>6.2850000000000001</v>
      </c>
      <c r="F110" s="27">
        <v>26.285</v>
      </c>
      <c r="G110" s="28">
        <v>26</v>
      </c>
      <c r="H110" s="87"/>
      <c r="I110" s="16" t="s">
        <v>10</v>
      </c>
      <c r="J110" s="12">
        <v>6.5000000000000002E-2</v>
      </c>
      <c r="K110" s="11">
        <v>26</v>
      </c>
    </row>
    <row r="111" spans="2:11" x14ac:dyDescent="0.3">
      <c r="B111" s="10" t="s">
        <v>10</v>
      </c>
      <c r="C111" s="29">
        <v>11.2</v>
      </c>
      <c r="D111" s="26">
        <v>1.3</v>
      </c>
      <c r="E111" s="26">
        <v>7.8849999999999998</v>
      </c>
      <c r="F111" s="27">
        <v>26</v>
      </c>
      <c r="G111" s="28">
        <v>26</v>
      </c>
      <c r="H111" s="87"/>
      <c r="I111" s="16" t="s">
        <v>11</v>
      </c>
      <c r="J111" s="88">
        <v>0.185</v>
      </c>
      <c r="K111" s="11">
        <v>50</v>
      </c>
    </row>
    <row r="112" spans="2:11" x14ac:dyDescent="0.3">
      <c r="B112" s="10" t="s">
        <v>11</v>
      </c>
      <c r="C112" s="12">
        <v>49</v>
      </c>
      <c r="D112" s="25">
        <v>9</v>
      </c>
      <c r="E112" s="26">
        <v>9</v>
      </c>
      <c r="F112" s="27">
        <v>14</v>
      </c>
      <c r="G112" s="28">
        <v>24</v>
      </c>
      <c r="H112" s="87"/>
      <c r="I112" s="7" t="s">
        <v>12</v>
      </c>
      <c r="J112" s="89">
        <v>0.185</v>
      </c>
      <c r="K112" s="13">
        <v>20</v>
      </c>
    </row>
    <row r="113" spans="2:28" x14ac:dyDescent="0.3">
      <c r="B113" s="10" t="s">
        <v>12</v>
      </c>
      <c r="C113" s="12">
        <v>18</v>
      </c>
      <c r="D113" s="26">
        <v>10</v>
      </c>
      <c r="E113" s="26">
        <v>10</v>
      </c>
      <c r="F113" s="27">
        <v>10</v>
      </c>
      <c r="G113" s="28">
        <v>10</v>
      </c>
      <c r="H113" s="87"/>
    </row>
    <row r="114" spans="2:28" x14ac:dyDescent="0.3">
      <c r="B114" s="20" t="s">
        <v>13</v>
      </c>
      <c r="C114" s="53">
        <f>(((1-$J$108*(1-C109/$K$108))*(1-$J$109*(1-C110/$K$109))*(1-$J$110*(1-C111/$K$110))*(1-$J$111*(1-C112/$K$111))*(1-$J$112*(1-C113/$K$112)))-((1-$J$108)*(1-$J$109)*(1-$J$110)*(1-$J$111)*(1-$J$112)))/(1-((1-$J$108)*(1-$J$109)*(1-$J$110)*(1-$J$111)*(1-$J$112)))</f>
        <v>0.73566181284645182</v>
      </c>
      <c r="D114" s="53">
        <f>(((1-$J$108*(1-D109/$K$108))*(1-$J$109*(1-D110/$K$109))*(1-$J$110*(1-D111/$K$110))*(1-$J$111*(1-D112/$K$111))*(1-$J$112*(1-D113/$K$112)))-((1-$J$108)*(1-$J$109)*(1-$J$110)*(1-$J$111)*(1-$J$112)))/(1-((1-$J$108)*(1-$J$109)*(1-$J$110)*(1-$J$111)*(1-$J$112)))</f>
        <v>0.21441441527099461</v>
      </c>
      <c r="E114" s="53">
        <f>(((1-$J$108*(1-E109/$K$108))*(1-$J$109*(1-E110/$K$109))*(1-$J$110*(1-E111/$K$110))*(1-$J$111*(1-E112/$K$111))*(1-$J$112*(1-E113/$K$112)))-((1-$J$108)*(1-$J$109)*(1-$J$110)*(1-$J$111)*(1-$J$112)))/(1-((1-$J$108)*(1-$J$109)*(1-$J$110)*(1-$J$111)*(1-$J$112)))</f>
        <v>0.26662555747542988</v>
      </c>
      <c r="F114" s="53">
        <f>(((1-$J$108*(1-F109/$K$108))*(1-$J$109*(1-F110/$K$109))*(1-$J$110*(1-F111/$K$110))*(1-$J$111*(1-F112/$K$111))*(1-$J$112*(1-F113/$K$112)))-((1-$J$108)*(1-$J$109)*(1-$J$110)*(1-$J$111)*(1-$J$112)))/(1-((1-$J$108)*(1-$J$109)*(1-$J$110)*(1-$J$111)*(1-$J$112)))</f>
        <v>0.45071840858487222</v>
      </c>
      <c r="G114" s="53">
        <f>(((1-$J$108*(1-G109/$K$108))*(1-$J$109*(1-G110/$K$109))*(1-$J$110*(1-G111/$K$110))*(1-$J$111*(1-G112/$K$111))*(1-$J$112*(1-G113/$K$112)))-((1-$J$108)*(1-$J$109)*(1-$J$110)*(1-$J$111)*(1-$J$112)))/(1-((1-$J$108)*(1-$J$109)*(1-$J$110)*(1-$J$111)*(1-$J$112)))</f>
        <v>0.60661484176261726</v>
      </c>
      <c r="H114" s="19"/>
      <c r="I114" s="2"/>
      <c r="K114" s="2"/>
    </row>
    <row r="115" spans="2:28" x14ac:dyDescent="0.3">
      <c r="B115" s="2"/>
      <c r="C115" s="19"/>
      <c r="D115" s="19"/>
      <c r="E115" s="19"/>
      <c r="F115" s="19"/>
      <c r="G115" s="19"/>
      <c r="H115" s="174"/>
      <c r="I115" s="2"/>
      <c r="K115" s="2"/>
    </row>
    <row r="116" spans="2:28" x14ac:dyDescent="0.3">
      <c r="B116" s="34" t="s">
        <v>31</v>
      </c>
      <c r="C116" s="2"/>
      <c r="D116" s="2"/>
      <c r="E116" s="2"/>
      <c r="F116" s="2"/>
      <c r="G116" s="2"/>
      <c r="H116" s="19"/>
    </row>
    <row r="117" spans="2:28" ht="15" thickBot="1" x14ac:dyDescent="0.35">
      <c r="B117" s="2"/>
      <c r="C117" s="2"/>
      <c r="D117" s="2"/>
      <c r="E117" s="2"/>
      <c r="F117" s="2"/>
      <c r="G117" s="2"/>
      <c r="I117" s="1" t="s">
        <v>54</v>
      </c>
      <c r="N117" s="1" t="s">
        <v>36</v>
      </c>
    </row>
    <row r="118" spans="2:28" ht="15" thickBot="1" x14ac:dyDescent="0.35">
      <c r="B118" s="47"/>
      <c r="C118" s="24" t="s">
        <v>40</v>
      </c>
      <c r="D118" s="202" t="s">
        <v>41</v>
      </c>
      <c r="E118" s="203"/>
      <c r="F118" s="203"/>
      <c r="G118" s="204"/>
      <c r="I118" s="67" t="s">
        <v>23</v>
      </c>
      <c r="J118" s="103" t="s">
        <v>69</v>
      </c>
      <c r="N118" s="69" t="s">
        <v>8</v>
      </c>
      <c r="O118" s="68" t="s">
        <v>64</v>
      </c>
      <c r="P118" s="103" t="s">
        <v>28</v>
      </c>
      <c r="Q118" s="68" t="s">
        <v>9</v>
      </c>
      <c r="R118" s="68" t="s">
        <v>64</v>
      </c>
      <c r="S118" s="103" t="s">
        <v>28</v>
      </c>
      <c r="T118" s="68" t="s">
        <v>10</v>
      </c>
      <c r="U118" s="68" t="s">
        <v>64</v>
      </c>
      <c r="V118" s="103" t="s">
        <v>28</v>
      </c>
      <c r="W118" s="68" t="s">
        <v>11</v>
      </c>
      <c r="X118" s="68" t="s">
        <v>64</v>
      </c>
      <c r="Y118" s="59" t="s">
        <v>28</v>
      </c>
      <c r="Z118" s="69" t="s">
        <v>12</v>
      </c>
      <c r="AA118" s="68" t="s">
        <v>64</v>
      </c>
      <c r="AB118" s="59" t="s">
        <v>28</v>
      </c>
    </row>
    <row r="119" spans="2:28" x14ac:dyDescent="0.3">
      <c r="B119" s="9"/>
      <c r="C119" s="30" t="s">
        <v>4</v>
      </c>
      <c r="D119" s="30" t="s">
        <v>4</v>
      </c>
      <c r="E119" s="30" t="s">
        <v>5</v>
      </c>
      <c r="F119" s="30" t="s">
        <v>6</v>
      </c>
      <c r="G119" s="30" t="s">
        <v>7</v>
      </c>
      <c r="I119" s="16" t="s">
        <v>8</v>
      </c>
      <c r="J119" s="97">
        <v>13.043478260869565</v>
      </c>
      <c r="N119" s="16" t="s">
        <v>32</v>
      </c>
      <c r="O119" s="2">
        <v>0</v>
      </c>
      <c r="P119" s="5">
        <v>0</v>
      </c>
      <c r="Q119" s="16" t="s">
        <v>32</v>
      </c>
      <c r="R119" s="2">
        <v>0</v>
      </c>
      <c r="S119" s="66">
        <v>0</v>
      </c>
      <c r="T119" s="16" t="s">
        <v>32</v>
      </c>
      <c r="U119" s="2">
        <v>0</v>
      </c>
      <c r="V119" s="66">
        <v>0</v>
      </c>
      <c r="W119" s="16" t="s">
        <v>32</v>
      </c>
      <c r="X119" s="2">
        <v>0</v>
      </c>
      <c r="Y119" s="5">
        <v>0</v>
      </c>
      <c r="Z119" s="16" t="s">
        <v>32</v>
      </c>
      <c r="AA119" s="2">
        <v>0</v>
      </c>
      <c r="AB119" s="5">
        <v>0</v>
      </c>
    </row>
    <row r="120" spans="2:28" x14ac:dyDescent="0.3">
      <c r="B120" s="16" t="s">
        <v>8</v>
      </c>
      <c r="C120" s="162">
        <v>5.7522123893805315</v>
      </c>
      <c r="D120" s="162">
        <v>2.8761061946902657</v>
      </c>
      <c r="E120" s="163">
        <v>2.8761061946902657</v>
      </c>
      <c r="F120" s="162">
        <v>2.8761061946902657</v>
      </c>
      <c r="G120" s="162">
        <v>11.504424778761063</v>
      </c>
      <c r="H120" s="17"/>
      <c r="I120" s="16" t="s">
        <v>9</v>
      </c>
      <c r="J120" s="97">
        <v>13.043478260869565</v>
      </c>
      <c r="N120" s="16" t="s">
        <v>33</v>
      </c>
      <c r="O120" s="93" t="s">
        <v>65</v>
      </c>
      <c r="P120" s="94">
        <v>3.2608695652173911</v>
      </c>
      <c r="Q120" s="16" t="s">
        <v>33</v>
      </c>
      <c r="R120" s="93" t="s">
        <v>65</v>
      </c>
      <c r="S120" s="94">
        <v>3.2608695652173911</v>
      </c>
      <c r="T120" s="16" t="s">
        <v>33</v>
      </c>
      <c r="U120" s="93" t="s">
        <v>65</v>
      </c>
      <c r="V120" s="94">
        <v>3.2608695652173911</v>
      </c>
      <c r="W120" s="16" t="s">
        <v>33</v>
      </c>
      <c r="X120" s="2">
        <v>15</v>
      </c>
      <c r="Y120" s="94">
        <v>7.608695652173914</v>
      </c>
      <c r="Z120" s="16" t="s">
        <v>33</v>
      </c>
      <c r="AA120" s="2">
        <v>6</v>
      </c>
      <c r="AB120" s="94">
        <v>7.608695652173914</v>
      </c>
    </row>
    <row r="121" spans="2:28" x14ac:dyDescent="0.3">
      <c r="B121" s="16" t="s">
        <v>9</v>
      </c>
      <c r="C121" s="162">
        <v>5.7522123893805315</v>
      </c>
      <c r="D121" s="162">
        <v>2.8761061946902657</v>
      </c>
      <c r="E121" s="163">
        <v>2.8761061946902657</v>
      </c>
      <c r="F121" s="162">
        <v>11.504424778761063</v>
      </c>
      <c r="G121" s="162">
        <v>11.504424778761063</v>
      </c>
      <c r="H121" s="2"/>
      <c r="I121" s="16" t="s">
        <v>10</v>
      </c>
      <c r="J121" s="97">
        <v>13.043478260869565</v>
      </c>
      <c r="N121" s="16" t="s">
        <v>34</v>
      </c>
      <c r="O121" s="93" t="s">
        <v>66</v>
      </c>
      <c r="P121" s="94">
        <v>6.5217391304347823</v>
      </c>
      <c r="Q121" s="16" t="s">
        <v>34</v>
      </c>
      <c r="R121" s="93" t="s">
        <v>66</v>
      </c>
      <c r="S121" s="94">
        <v>6.5217391304347823</v>
      </c>
      <c r="T121" s="16" t="s">
        <v>34</v>
      </c>
      <c r="U121" s="93" t="s">
        <v>66</v>
      </c>
      <c r="V121" s="94">
        <v>6.5217391304347823</v>
      </c>
      <c r="W121" s="16" t="s">
        <v>34</v>
      </c>
      <c r="X121" s="2">
        <v>30</v>
      </c>
      <c r="Y121" s="94">
        <v>15.217391304347828</v>
      </c>
      <c r="Z121" s="16" t="s">
        <v>34</v>
      </c>
      <c r="AA121" s="2">
        <v>12</v>
      </c>
      <c r="AB121" s="94">
        <v>15.217391304347828</v>
      </c>
    </row>
    <row r="122" spans="2:28" x14ac:dyDescent="0.3">
      <c r="B122" s="16" t="s">
        <v>10</v>
      </c>
      <c r="C122" s="162">
        <v>2.8761061946902657</v>
      </c>
      <c r="D122" s="162">
        <v>2.8761061946902657</v>
      </c>
      <c r="E122" s="163">
        <v>5.7522123893805315</v>
      </c>
      <c r="F122" s="162">
        <v>11.504424778761063</v>
      </c>
      <c r="G122" s="162">
        <v>11.504424778761063</v>
      </c>
      <c r="H122" s="2"/>
      <c r="I122" s="16" t="s">
        <v>11</v>
      </c>
      <c r="J122" s="97">
        <v>30.434782608695656</v>
      </c>
      <c r="N122" s="16" t="s">
        <v>35</v>
      </c>
      <c r="O122" s="93" t="s">
        <v>67</v>
      </c>
      <c r="P122" s="94">
        <v>9.7826086956521738</v>
      </c>
      <c r="Q122" s="16" t="s">
        <v>35</v>
      </c>
      <c r="R122" s="93" t="s">
        <v>67</v>
      </c>
      <c r="S122" s="94">
        <v>9.7826086956521738</v>
      </c>
      <c r="T122" s="16" t="s">
        <v>35</v>
      </c>
      <c r="U122" s="93" t="s">
        <v>67</v>
      </c>
      <c r="V122" s="94">
        <v>9.7826086956521738</v>
      </c>
      <c r="W122" s="16" t="s">
        <v>35</v>
      </c>
      <c r="X122" s="2">
        <v>45</v>
      </c>
      <c r="Y122" s="94">
        <v>22.826086956521742</v>
      </c>
      <c r="Z122" s="16" t="s">
        <v>35</v>
      </c>
      <c r="AA122" s="2">
        <v>18</v>
      </c>
      <c r="AB122" s="94">
        <v>22.826086956521742</v>
      </c>
    </row>
    <row r="123" spans="2:28" x14ac:dyDescent="0.3">
      <c r="B123" s="16" t="s">
        <v>11</v>
      </c>
      <c r="C123" s="162">
        <v>32.743362831858406</v>
      </c>
      <c r="D123" s="162">
        <v>8.1858407079646014</v>
      </c>
      <c r="E123" s="163">
        <v>8.1858407079646014</v>
      </c>
      <c r="F123" s="162">
        <v>8.1858407079646014</v>
      </c>
      <c r="G123" s="162">
        <v>16.371681415929203</v>
      </c>
      <c r="H123" s="2"/>
      <c r="I123" s="7" t="s">
        <v>12</v>
      </c>
      <c r="J123" s="98">
        <v>30.434782608695656</v>
      </c>
      <c r="N123" s="7" t="s">
        <v>37</v>
      </c>
      <c r="O123" s="65" t="s">
        <v>68</v>
      </c>
      <c r="P123" s="95">
        <v>13.043478260869565</v>
      </c>
      <c r="Q123" s="7" t="s">
        <v>37</v>
      </c>
      <c r="R123" s="65" t="s">
        <v>68</v>
      </c>
      <c r="S123" s="95">
        <v>13.043478260869565</v>
      </c>
      <c r="T123" s="7" t="s">
        <v>37</v>
      </c>
      <c r="U123" s="65" t="s">
        <v>68</v>
      </c>
      <c r="V123" s="95">
        <v>13.043478260869565</v>
      </c>
      <c r="W123" s="7" t="s">
        <v>37</v>
      </c>
      <c r="X123" s="65" t="s">
        <v>38</v>
      </c>
      <c r="Y123" s="95">
        <v>30.434782608695656</v>
      </c>
      <c r="Z123" s="7" t="s">
        <v>37</v>
      </c>
      <c r="AA123" s="65" t="s">
        <v>39</v>
      </c>
      <c r="AB123" s="95">
        <v>30.434782608695656</v>
      </c>
    </row>
    <row r="124" spans="2:28" x14ac:dyDescent="0.3">
      <c r="B124" s="16" t="s">
        <v>12</v>
      </c>
      <c r="C124" s="162">
        <v>24.557522123893804</v>
      </c>
      <c r="D124" s="162">
        <v>16.371681415929203</v>
      </c>
      <c r="E124" s="163">
        <v>16.371681415929203</v>
      </c>
      <c r="F124" s="162">
        <v>16.371681415929203</v>
      </c>
      <c r="G124" s="162">
        <v>16.371681415929203</v>
      </c>
      <c r="H124" s="2"/>
    </row>
    <row r="125" spans="2:28" x14ac:dyDescent="0.3">
      <c r="B125" s="7" t="s">
        <v>13</v>
      </c>
      <c r="C125" s="164">
        <f>SUM(C120:C124)/100</f>
        <v>0.7168141592920354</v>
      </c>
      <c r="D125" s="164">
        <f>SUM(D120:D124)/100</f>
        <v>0.33185840707964603</v>
      </c>
      <c r="E125" s="164">
        <f t="shared" ref="E125:F125" si="2">SUM(E120:E124)/100</f>
        <v>0.36061946902654868</v>
      </c>
      <c r="F125" s="164">
        <f t="shared" si="2"/>
        <v>0.50442477876106195</v>
      </c>
      <c r="G125" s="164">
        <f>SUM(G120:G124)/100</f>
        <v>0.67256637168141598</v>
      </c>
      <c r="H125" s="2"/>
      <c r="I125" s="2"/>
      <c r="J125" s="2"/>
    </row>
    <row r="126" spans="2:28" x14ac:dyDescent="0.3">
      <c r="B126" s="2"/>
      <c r="C126" s="92"/>
      <c r="D126" s="92"/>
      <c r="E126" s="92"/>
      <c r="F126" s="92"/>
      <c r="G126" s="92"/>
      <c r="H126" s="2"/>
      <c r="I126" s="2"/>
      <c r="J126" s="2"/>
    </row>
    <row r="127" spans="2:28" x14ac:dyDescent="0.3">
      <c r="B127" s="34" t="s">
        <v>107</v>
      </c>
      <c r="C127" s="2"/>
      <c r="D127" s="2"/>
      <c r="E127" s="2"/>
      <c r="F127" s="2"/>
      <c r="G127" s="2"/>
      <c r="H127" s="2"/>
      <c r="I127" s="2"/>
      <c r="J127" s="2"/>
    </row>
    <row r="128" spans="2:28" x14ac:dyDescent="0.3">
      <c r="B128" s="2"/>
      <c r="C128" s="2"/>
      <c r="D128" s="2"/>
      <c r="E128" s="2"/>
      <c r="F128" s="2"/>
      <c r="G128" s="2"/>
      <c r="H128" s="2"/>
    </row>
    <row r="129" spans="2:8" x14ac:dyDescent="0.3">
      <c r="B129" s="22"/>
      <c r="C129" s="24" t="s">
        <v>40</v>
      </c>
      <c r="D129" s="202" t="s">
        <v>41</v>
      </c>
      <c r="E129" s="203"/>
      <c r="F129" s="203"/>
      <c r="G129" s="204"/>
      <c r="H129" s="2"/>
    </row>
    <row r="130" spans="2:8" x14ac:dyDescent="0.3">
      <c r="B130" s="22"/>
      <c r="C130" s="30" t="s">
        <v>4</v>
      </c>
      <c r="D130" s="30" t="s">
        <v>4</v>
      </c>
      <c r="E130" s="30" t="s">
        <v>5</v>
      </c>
      <c r="F130" s="30" t="s">
        <v>6</v>
      </c>
      <c r="G130" s="30" t="s">
        <v>7</v>
      </c>
    </row>
    <row r="131" spans="2:8" x14ac:dyDescent="0.3">
      <c r="B131" s="10" t="s">
        <v>24</v>
      </c>
      <c r="C131" s="12">
        <v>3</v>
      </c>
      <c r="D131" s="12">
        <v>1</v>
      </c>
      <c r="E131" s="12">
        <v>1</v>
      </c>
      <c r="F131" s="12">
        <v>2</v>
      </c>
      <c r="G131" s="12">
        <v>2</v>
      </c>
    </row>
    <row r="132" spans="2:8" x14ac:dyDescent="0.3">
      <c r="B132" s="10" t="s">
        <v>26</v>
      </c>
      <c r="C132" s="12">
        <v>4</v>
      </c>
      <c r="D132" s="12">
        <v>4</v>
      </c>
      <c r="E132" s="12">
        <v>4</v>
      </c>
      <c r="F132" s="12">
        <v>4</v>
      </c>
      <c r="G132" s="12">
        <v>4</v>
      </c>
    </row>
    <row r="133" spans="2:8" x14ac:dyDescent="0.3">
      <c r="B133" s="10" t="s">
        <v>25</v>
      </c>
      <c r="C133" s="12">
        <f>C131*C132</f>
        <v>12</v>
      </c>
      <c r="D133" s="12">
        <f t="shared" ref="D133:G133" si="3">D131*D132</f>
        <v>4</v>
      </c>
      <c r="E133" s="12">
        <f t="shared" si="3"/>
        <v>4</v>
      </c>
      <c r="F133" s="12">
        <f t="shared" si="3"/>
        <v>8</v>
      </c>
      <c r="G133" s="12">
        <f t="shared" si="3"/>
        <v>8</v>
      </c>
    </row>
    <row r="134" spans="2:8" x14ac:dyDescent="0.3">
      <c r="B134" s="52" t="s">
        <v>29</v>
      </c>
      <c r="C134" s="164">
        <f>C133/($P$43*$S$42)</f>
        <v>0.66666666666666663</v>
      </c>
      <c r="D134" s="164">
        <f>D133/($P$43*$S$42)</f>
        <v>0.22222222222222221</v>
      </c>
      <c r="E134" s="164">
        <f>E133/($P$43*$S$42)</f>
        <v>0.22222222222222221</v>
      </c>
      <c r="F134" s="164">
        <f>F133/($P$43*$S$42)</f>
        <v>0.44444444444444442</v>
      </c>
      <c r="G134" s="164">
        <f>G133/($P$43*$S$42)</f>
        <v>0.44444444444444442</v>
      </c>
    </row>
    <row r="135" spans="2:8" x14ac:dyDescent="0.3">
      <c r="B135" s="91"/>
      <c r="C135" s="92"/>
      <c r="D135" s="92"/>
      <c r="E135" s="92"/>
      <c r="F135" s="92"/>
      <c r="G135" s="92"/>
    </row>
    <row r="136" spans="2:8" x14ac:dyDescent="0.3">
      <c r="B136" s="8"/>
    </row>
    <row r="137" spans="2:8" x14ac:dyDescent="0.3">
      <c r="B137" s="57" t="s">
        <v>30</v>
      </c>
    </row>
    <row r="138" spans="2:8" x14ac:dyDescent="0.3">
      <c r="B138" s="2"/>
      <c r="C138" s="2"/>
      <c r="D138" s="2"/>
    </row>
    <row r="139" spans="2:8" x14ac:dyDescent="0.3">
      <c r="B139" s="24" t="s">
        <v>4</v>
      </c>
      <c r="C139" s="24" t="s">
        <v>40</v>
      </c>
      <c r="D139" s="39" t="s">
        <v>41</v>
      </c>
    </row>
    <row r="140" spans="2:8" x14ac:dyDescent="0.3">
      <c r="B140" s="42" t="s">
        <v>16</v>
      </c>
      <c r="C140" s="41">
        <f>C114</f>
        <v>0.73566181284645182</v>
      </c>
      <c r="D140" s="40">
        <f>D114</f>
        <v>0.21441441527099461</v>
      </c>
    </row>
    <row r="141" spans="2:8" x14ac:dyDescent="0.3">
      <c r="B141" s="44" t="s">
        <v>17</v>
      </c>
      <c r="C141" s="45">
        <f>C125</f>
        <v>0.7168141592920354</v>
      </c>
      <c r="D141" s="45">
        <f>D125</f>
        <v>0.33185840707964603</v>
      </c>
    </row>
    <row r="142" spans="2:8" x14ac:dyDescent="0.3">
      <c r="B142" s="43" t="s">
        <v>106</v>
      </c>
      <c r="C142" s="54">
        <f>C134</f>
        <v>0.66666666666666663</v>
      </c>
      <c r="D142" s="55">
        <f>D134</f>
        <v>0.22222222222222221</v>
      </c>
    </row>
    <row r="144" spans="2:8" x14ac:dyDescent="0.3">
      <c r="B144" s="33" t="s">
        <v>18</v>
      </c>
      <c r="C144" s="2"/>
      <c r="D144" s="2"/>
      <c r="E144" s="2"/>
    </row>
    <row r="145" spans="2:6" x14ac:dyDescent="0.3">
      <c r="C145" s="2"/>
      <c r="D145" s="2"/>
      <c r="E145" s="2"/>
    </row>
    <row r="146" spans="2:6" x14ac:dyDescent="0.3">
      <c r="B146" s="46" t="s">
        <v>5</v>
      </c>
      <c r="C146" s="39" t="s">
        <v>1</v>
      </c>
      <c r="D146" s="47" t="s">
        <v>2</v>
      </c>
      <c r="E146" s="47" t="s">
        <v>105</v>
      </c>
      <c r="F146" s="47" t="s">
        <v>60</v>
      </c>
    </row>
    <row r="147" spans="2:6" x14ac:dyDescent="0.3">
      <c r="B147" s="44" t="s">
        <v>16</v>
      </c>
      <c r="C147" s="45">
        <f>E114</f>
        <v>0.26662555747542988</v>
      </c>
      <c r="D147" s="45">
        <f>C147-$D$140</f>
        <v>5.2211142204435262E-2</v>
      </c>
      <c r="E147" s="48">
        <f>$C$140/D147</f>
        <v>14.090130607867804</v>
      </c>
      <c r="F147" s="84">
        <f>E147*$I$50</f>
        <v>41523.61490138642</v>
      </c>
    </row>
    <row r="148" spans="2:6" x14ac:dyDescent="0.3">
      <c r="B148" s="44" t="s">
        <v>17</v>
      </c>
      <c r="C148" s="45">
        <f>E125</f>
        <v>0.36061946902654868</v>
      </c>
      <c r="D148" s="45">
        <f>C148-D141</f>
        <v>2.8761061946902644E-2</v>
      </c>
      <c r="E148" s="48">
        <f>$C$141/D148</f>
        <v>24.923076923076934</v>
      </c>
      <c r="F148" s="84">
        <f>E148*$I$50</f>
        <v>73448.307692307731</v>
      </c>
    </row>
    <row r="149" spans="2:6" x14ac:dyDescent="0.3">
      <c r="B149" s="44" t="s">
        <v>106</v>
      </c>
      <c r="C149" s="45">
        <f>E134</f>
        <v>0.22222222222222221</v>
      </c>
      <c r="D149" s="45">
        <f>C149-$D$142</f>
        <v>0</v>
      </c>
      <c r="E149" s="49" t="s">
        <v>0</v>
      </c>
      <c r="F149" s="85" t="s">
        <v>0</v>
      </c>
    </row>
    <row r="150" spans="2:6" x14ac:dyDescent="0.3">
      <c r="B150" s="3"/>
      <c r="C150" s="51"/>
      <c r="D150" s="51"/>
      <c r="E150" s="3"/>
      <c r="F150" s="3"/>
    </row>
    <row r="151" spans="2:6" x14ac:dyDescent="0.3">
      <c r="B151" s="56" t="s">
        <v>6</v>
      </c>
      <c r="D151" s="4"/>
      <c r="E151" s="2"/>
    </row>
    <row r="152" spans="2:6" x14ac:dyDescent="0.3">
      <c r="B152" s="44" t="s">
        <v>16</v>
      </c>
      <c r="C152" s="45">
        <f>F114</f>
        <v>0.45071840858487222</v>
      </c>
      <c r="D152" s="45">
        <f>C152-$D$140</f>
        <v>0.23630399331387761</v>
      </c>
      <c r="E152" s="48">
        <f>$C$140/D152</f>
        <v>3.1132009346506799</v>
      </c>
      <c r="F152" s="83">
        <f>E152*$J$50</f>
        <v>10731.826261927823</v>
      </c>
    </row>
    <row r="153" spans="2:6" x14ac:dyDescent="0.3">
      <c r="B153" s="44" t="s">
        <v>17</v>
      </c>
      <c r="C153" s="45">
        <f>F125</f>
        <v>0.50442477876106195</v>
      </c>
      <c r="D153" s="45">
        <f>C153-D141</f>
        <v>0.17256637168141592</v>
      </c>
      <c r="E153" s="48">
        <f>$C$141/D153</f>
        <v>4.1538461538461542</v>
      </c>
      <c r="F153" s="83">
        <f>E153*$J$50</f>
        <v>14319.138461538461</v>
      </c>
    </row>
    <row r="154" spans="2:6" x14ac:dyDescent="0.3">
      <c r="B154" s="44" t="s">
        <v>106</v>
      </c>
      <c r="C154" s="45">
        <f>F134</f>
        <v>0.44444444444444442</v>
      </c>
      <c r="D154" s="45">
        <f>C154-$D$142</f>
        <v>0.22222222222222221</v>
      </c>
      <c r="E154" s="48">
        <f>$C$142/D154</f>
        <v>3</v>
      </c>
      <c r="F154" s="83">
        <f>E154*$J$50</f>
        <v>10341.599999999999</v>
      </c>
    </row>
    <row r="155" spans="2:6" x14ac:dyDescent="0.3">
      <c r="C155" s="2"/>
      <c r="D155" s="2"/>
      <c r="E155" s="2"/>
    </row>
    <row r="156" spans="2:6" x14ac:dyDescent="0.3">
      <c r="B156" s="36" t="s">
        <v>7</v>
      </c>
      <c r="C156" s="2"/>
      <c r="D156" s="2"/>
      <c r="E156" s="2"/>
    </row>
    <row r="157" spans="2:6" x14ac:dyDescent="0.3">
      <c r="B157" s="44" t="s">
        <v>16</v>
      </c>
      <c r="C157" s="45">
        <f>G114</f>
        <v>0.60661484176261726</v>
      </c>
      <c r="D157" s="45">
        <f>C157-$D$140</f>
        <v>0.39220042649162268</v>
      </c>
      <c r="E157" s="48">
        <f>$C$140/D157</f>
        <v>1.8757292525844955</v>
      </c>
      <c r="F157" s="83">
        <f>E157*$K$50</f>
        <v>8341.7431320937685</v>
      </c>
    </row>
    <row r="158" spans="2:6" x14ac:dyDescent="0.3">
      <c r="B158" s="44" t="s">
        <v>17</v>
      </c>
      <c r="C158" s="45">
        <f>G125</f>
        <v>0.67256637168141598</v>
      </c>
      <c r="D158" s="45">
        <f>C158-D141</f>
        <v>0.34070796460176994</v>
      </c>
      <c r="E158" s="48">
        <f>$C$141/D158</f>
        <v>2.1038961038961039</v>
      </c>
      <c r="F158" s="83">
        <f>E158*$K$50</f>
        <v>9356.4467532467534</v>
      </c>
    </row>
    <row r="159" spans="2:6" x14ac:dyDescent="0.3">
      <c r="B159" s="44" t="s">
        <v>106</v>
      </c>
      <c r="C159" s="45">
        <f>G134</f>
        <v>0.44444444444444442</v>
      </c>
      <c r="D159" s="45">
        <f>C159-$D$142</f>
        <v>0.22222222222222221</v>
      </c>
      <c r="E159" s="48">
        <f>$C$142/D159</f>
        <v>3</v>
      </c>
      <c r="F159" s="83">
        <f>E159*$K$50</f>
        <v>13341.599999999999</v>
      </c>
    </row>
    <row r="160" spans="2:6" x14ac:dyDescent="0.3">
      <c r="B160" s="2"/>
      <c r="C160" s="2"/>
    </row>
    <row r="161" spans="2:11" s="4" customFormat="1" x14ac:dyDescent="0.3"/>
    <row r="163" spans="2:11" x14ac:dyDescent="0.3">
      <c r="B163" s="90"/>
    </row>
    <row r="164" spans="2:11" x14ac:dyDescent="0.3">
      <c r="B164" s="90" t="s">
        <v>63</v>
      </c>
    </row>
    <row r="166" spans="2:11" x14ac:dyDescent="0.3">
      <c r="B166" s="34" t="s">
        <v>3</v>
      </c>
      <c r="C166" s="62"/>
    </row>
    <row r="168" spans="2:11" x14ac:dyDescent="0.3">
      <c r="B168" s="47"/>
      <c r="C168" s="86" t="s">
        <v>40</v>
      </c>
      <c r="D168" s="189" t="s">
        <v>41</v>
      </c>
      <c r="E168" s="190"/>
      <c r="F168" s="190"/>
      <c r="G168" s="190"/>
      <c r="H168" s="190"/>
      <c r="I168" s="190"/>
      <c r="J168" s="191"/>
    </row>
    <row r="169" spans="2:11" ht="15" thickBot="1" x14ac:dyDescent="0.35">
      <c r="B169" s="130"/>
      <c r="C169" s="104"/>
      <c r="D169" s="132"/>
      <c r="E169" s="196" t="s">
        <v>88</v>
      </c>
      <c r="F169" s="197"/>
      <c r="G169" s="198"/>
      <c r="H169" s="196" t="s">
        <v>89</v>
      </c>
      <c r="I169" s="197"/>
      <c r="J169" s="197"/>
      <c r="K169" s="16"/>
    </row>
    <row r="170" spans="2:11" ht="15" thickBot="1" x14ac:dyDescent="0.35">
      <c r="B170" s="22"/>
      <c r="C170" s="30" t="s">
        <v>4</v>
      </c>
      <c r="D170" s="110" t="s">
        <v>4</v>
      </c>
      <c r="E170" s="99" t="s">
        <v>5</v>
      </c>
      <c r="F170" s="100" t="s">
        <v>6</v>
      </c>
      <c r="G170" s="101" t="s">
        <v>7</v>
      </c>
      <c r="H170" s="99" t="s">
        <v>5</v>
      </c>
      <c r="I170" s="100" t="s">
        <v>6</v>
      </c>
      <c r="J170" s="101" t="s">
        <v>7</v>
      </c>
    </row>
    <row r="171" spans="2:11" x14ac:dyDescent="0.3">
      <c r="B171" s="10" t="s">
        <v>8</v>
      </c>
      <c r="C171" s="29">
        <v>14.1</v>
      </c>
      <c r="D171" s="25">
        <v>3</v>
      </c>
      <c r="E171" s="26">
        <f>0.6*6.57</f>
        <v>3.9420000000000002</v>
      </c>
      <c r="F171" s="27">
        <f>0.6*6.57</f>
        <v>3.9420000000000002</v>
      </c>
      <c r="G171" s="27">
        <f>0.6*26</f>
        <v>15.6</v>
      </c>
      <c r="H171" s="26">
        <f>1.4*6.57</f>
        <v>9.1980000000000004</v>
      </c>
      <c r="I171" s="27">
        <f>1.4*6.57</f>
        <v>9.1980000000000004</v>
      </c>
      <c r="J171" s="28">
        <v>26</v>
      </c>
    </row>
    <row r="172" spans="2:11" x14ac:dyDescent="0.3">
      <c r="B172" s="10" t="s">
        <v>9</v>
      </c>
      <c r="C172" s="29">
        <v>10.9</v>
      </c>
      <c r="D172" s="26">
        <v>2.6</v>
      </c>
      <c r="E172" s="26">
        <f>0.6*6.285</f>
        <v>3.7709999999999999</v>
      </c>
      <c r="F172" s="27">
        <f>0.6*26.285</f>
        <v>15.770999999999999</v>
      </c>
      <c r="G172" s="27">
        <f>0.6*26</f>
        <v>15.6</v>
      </c>
      <c r="H172" s="26">
        <f>1.4*6.285</f>
        <v>8.7989999999999995</v>
      </c>
      <c r="I172" s="27">
        <v>26</v>
      </c>
      <c r="J172" s="28">
        <v>26</v>
      </c>
    </row>
    <row r="173" spans="2:11" x14ac:dyDescent="0.3">
      <c r="B173" s="10" t="s">
        <v>10</v>
      </c>
      <c r="C173" s="29">
        <v>11.2</v>
      </c>
      <c r="D173" s="26">
        <v>1.3</v>
      </c>
      <c r="E173" s="26">
        <f>0.6*7.885</f>
        <v>4.7309999999999999</v>
      </c>
      <c r="F173" s="27">
        <f>0.6*26</f>
        <v>15.6</v>
      </c>
      <c r="G173" s="27">
        <f>0.6*26</f>
        <v>15.6</v>
      </c>
      <c r="H173" s="26">
        <f>1.4*7.885</f>
        <v>11.039</v>
      </c>
      <c r="I173" s="27">
        <v>26</v>
      </c>
      <c r="J173" s="28">
        <v>26</v>
      </c>
    </row>
    <row r="174" spans="2:11" x14ac:dyDescent="0.3">
      <c r="B174" s="10" t="s">
        <v>11</v>
      </c>
      <c r="C174" s="12">
        <v>49</v>
      </c>
      <c r="D174" s="25">
        <v>9</v>
      </c>
      <c r="E174" s="26">
        <f>0.6*9</f>
        <v>5.3999999999999995</v>
      </c>
      <c r="F174" s="27">
        <f>0.6*14</f>
        <v>8.4</v>
      </c>
      <c r="G174" s="27">
        <f>0.6*24</f>
        <v>14.399999999999999</v>
      </c>
      <c r="H174" s="26">
        <f>1.4*9</f>
        <v>12.6</v>
      </c>
      <c r="I174" s="27">
        <f>1.4*14</f>
        <v>19.599999999999998</v>
      </c>
      <c r="J174" s="27">
        <f>1.4*24</f>
        <v>33.599999999999994</v>
      </c>
    </row>
    <row r="175" spans="2:11" x14ac:dyDescent="0.3">
      <c r="B175" s="10" t="s">
        <v>12</v>
      </c>
      <c r="C175" s="12">
        <v>18</v>
      </c>
      <c r="D175" s="26">
        <v>10</v>
      </c>
      <c r="E175" s="26">
        <v>10</v>
      </c>
      <c r="F175" s="27">
        <v>10</v>
      </c>
      <c r="G175" s="28">
        <v>10</v>
      </c>
      <c r="H175" s="26">
        <v>10</v>
      </c>
      <c r="I175" s="27">
        <v>10</v>
      </c>
      <c r="J175" s="28">
        <v>10</v>
      </c>
    </row>
    <row r="176" spans="2:11" x14ac:dyDescent="0.3">
      <c r="B176" s="20" t="s">
        <v>13</v>
      </c>
      <c r="C176" s="53">
        <f>(((1-$J$15*(1-C171/$K$15))*(1-$J$16*(1-C172/$K$16))*(1-$J$17*(1-C173/$K$17))*(1-$J$18*(1-C174/$K$18))*(1-$J$19*(1-C175/$K$19)))-((1-$J$15)*(1-$J$16)*(1-$J$17)*(1-$J$18)*(1-$J$19)))/(1-((1-$J$15)*(1-$J$16)*(1-$J$17)*(1-$J$18)*(1-$J$19)))</f>
        <v>0.6086970844329419</v>
      </c>
      <c r="D176" s="53">
        <f t="shared" ref="D176:J176" si="4">(((1-$J$15*(1-D171/$K$15))*(1-$J$16*(1-D172/$K$16))*(1-$J$17*(1-D173/$K$17))*(1-$J$18*(1-D174/$K$18))*(1-$J$19*(1-D175/$K$19)))-((1-$J$15)*(1-$J$16)*(1-$J$17)*(1-$J$18)*(1-$J$19)))/(1-((1-$J$15)*(1-$J$16)*(1-$J$17)*(1-$J$18)*(1-$J$19)))</f>
        <v>0.14606758782645746</v>
      </c>
      <c r="E176" s="53">
        <f t="shared" si="4"/>
        <v>0.15521245674814962</v>
      </c>
      <c r="F176" s="53">
        <f t="shared" si="4"/>
        <v>0.27505037089482587</v>
      </c>
      <c r="G176" s="53">
        <f t="shared" si="4"/>
        <v>0.36939569303353992</v>
      </c>
      <c r="H176" s="53">
        <f t="shared" si="4"/>
        <v>0.26612204898391051</v>
      </c>
      <c r="I176" s="53">
        <f t="shared" si="4"/>
        <v>0.47981726394731267</v>
      </c>
      <c r="J176" s="53">
        <f t="shared" si="4"/>
        <v>0.68738989564251174</v>
      </c>
    </row>
    <row r="179" spans="2:11" x14ac:dyDescent="0.3">
      <c r="B179" s="34" t="s">
        <v>31</v>
      </c>
      <c r="C179" s="2"/>
      <c r="D179" s="2"/>
      <c r="E179" s="2"/>
      <c r="F179" s="2"/>
      <c r="G179" s="2"/>
    </row>
    <row r="180" spans="2:11" x14ac:dyDescent="0.3">
      <c r="B180" s="2"/>
      <c r="C180" s="2"/>
      <c r="D180" s="2"/>
      <c r="E180" s="2"/>
      <c r="F180" s="2"/>
      <c r="G180" s="2"/>
    </row>
    <row r="181" spans="2:11" x14ac:dyDescent="0.3">
      <c r="B181" s="47"/>
      <c r="C181" s="86" t="s">
        <v>40</v>
      </c>
      <c r="D181" s="192" t="s">
        <v>41</v>
      </c>
      <c r="E181" s="193"/>
      <c r="F181" s="193"/>
      <c r="G181" s="193"/>
      <c r="H181" s="194"/>
      <c r="I181" s="194"/>
      <c r="J181" s="195"/>
    </row>
    <row r="182" spans="2:11" ht="15" thickBot="1" x14ac:dyDescent="0.35">
      <c r="B182" s="131"/>
      <c r="C182" s="24"/>
      <c r="D182" s="33"/>
      <c r="E182" s="199" t="s">
        <v>88</v>
      </c>
      <c r="F182" s="200"/>
      <c r="G182" s="201"/>
      <c r="H182" s="196" t="s">
        <v>89</v>
      </c>
      <c r="I182" s="197"/>
      <c r="J182" s="198"/>
      <c r="K182" s="16"/>
    </row>
    <row r="183" spans="2:11" ht="15" thickBot="1" x14ac:dyDescent="0.35">
      <c r="B183" s="9"/>
      <c r="C183" s="30" t="s">
        <v>4</v>
      </c>
      <c r="D183" s="110" t="s">
        <v>4</v>
      </c>
      <c r="E183" s="102" t="s">
        <v>5</v>
      </c>
      <c r="F183" s="100" t="s">
        <v>6</v>
      </c>
      <c r="G183" s="101" t="s">
        <v>7</v>
      </c>
      <c r="H183" s="102" t="s">
        <v>5</v>
      </c>
      <c r="I183" s="100" t="s">
        <v>6</v>
      </c>
      <c r="J183" s="101" t="s">
        <v>7</v>
      </c>
    </row>
    <row r="184" spans="2:11" x14ac:dyDescent="0.3">
      <c r="B184" s="16" t="s">
        <v>8</v>
      </c>
      <c r="C184" s="96">
        <v>3.9709461550184968</v>
      </c>
      <c r="D184" s="96">
        <v>3.9709461550184968</v>
      </c>
      <c r="E184" s="96">
        <v>3.9709461550184968</v>
      </c>
      <c r="F184" s="96">
        <v>3.9709461550184968</v>
      </c>
      <c r="G184" s="96">
        <v>7.9418923100369936</v>
      </c>
      <c r="H184" s="96">
        <v>7.9418923100369936</v>
      </c>
      <c r="I184" s="96">
        <v>7.9418923100369936</v>
      </c>
      <c r="J184" s="96">
        <v>15.883784620073987</v>
      </c>
    </row>
    <row r="185" spans="2:11" x14ac:dyDescent="0.3">
      <c r="B185" s="16" t="s">
        <v>9</v>
      </c>
      <c r="C185" s="96">
        <v>7.9418923100369936</v>
      </c>
      <c r="D185" s="96">
        <v>3.9709461550184968</v>
      </c>
      <c r="E185" s="96">
        <v>3.9709461550184968</v>
      </c>
      <c r="F185" s="96">
        <v>11.91283846505549</v>
      </c>
      <c r="G185" s="96">
        <v>7.9418923100369936</v>
      </c>
      <c r="H185" s="96">
        <v>7.9418923100369936</v>
      </c>
      <c r="I185" s="96">
        <v>15.883784620073987</v>
      </c>
      <c r="J185" s="96">
        <v>15.883784620073987</v>
      </c>
    </row>
    <row r="186" spans="2:11" x14ac:dyDescent="0.3">
      <c r="B186" s="16" t="s">
        <v>10</v>
      </c>
      <c r="C186" s="96">
        <v>7.9418923100369936</v>
      </c>
      <c r="D186" s="96">
        <v>3.9709461550184968</v>
      </c>
      <c r="E186" s="96">
        <v>3.9709461550184968</v>
      </c>
      <c r="F186" s="96">
        <v>7.9418923100369936</v>
      </c>
      <c r="G186" s="96">
        <v>7.9418923100369936</v>
      </c>
      <c r="H186" s="96">
        <v>7.9418923100369936</v>
      </c>
      <c r="I186" s="96">
        <v>15.883784620073987</v>
      </c>
      <c r="J186" s="96">
        <v>15.883784620073987</v>
      </c>
    </row>
    <row r="187" spans="2:11" x14ac:dyDescent="0.3">
      <c r="B187" s="16" t="s">
        <v>11</v>
      </c>
      <c r="C187" s="96">
        <v>26.17432306988902</v>
      </c>
      <c r="D187" s="96">
        <v>6.543580767472255</v>
      </c>
      <c r="E187" s="96">
        <v>6.543580767472255</v>
      </c>
      <c r="F187" s="96">
        <v>6.543580767472255</v>
      </c>
      <c r="G187" s="96">
        <v>6.543580767472255</v>
      </c>
      <c r="H187" s="96">
        <v>6.543580767472255</v>
      </c>
      <c r="I187" s="96">
        <v>13.08716153494451</v>
      </c>
      <c r="J187" s="96">
        <v>19.630742302416763</v>
      </c>
    </row>
    <row r="188" spans="2:11" x14ac:dyDescent="0.3">
      <c r="B188" s="16" t="s">
        <v>12</v>
      </c>
      <c r="C188" s="96">
        <v>19.630742302416763</v>
      </c>
      <c r="D188" s="96">
        <v>13.08716153494451</v>
      </c>
      <c r="E188" s="96">
        <v>13.08716153494451</v>
      </c>
      <c r="F188" s="96">
        <v>13.08716153494451</v>
      </c>
      <c r="G188" s="96">
        <v>13.08716153494451</v>
      </c>
      <c r="H188" s="96">
        <v>13.08716153494451</v>
      </c>
      <c r="I188" s="96">
        <v>13.08716153494451</v>
      </c>
      <c r="J188" s="96">
        <v>13.08716153494451</v>
      </c>
    </row>
    <row r="189" spans="2:11" x14ac:dyDescent="0.3">
      <c r="B189" s="7" t="s">
        <v>13</v>
      </c>
      <c r="C189" s="14">
        <f>SUM(C184:C188)/100</f>
        <v>0.65659796147398264</v>
      </c>
      <c r="D189" s="14">
        <f>SUM(D184:D188)/100</f>
        <v>0.31543580767472251</v>
      </c>
      <c r="E189" s="14">
        <f t="shared" ref="E189:G189" si="5">SUM(E184:E188)/100</f>
        <v>0.31543580767472251</v>
      </c>
      <c r="F189" s="14">
        <f t="shared" si="5"/>
        <v>0.43456419232527749</v>
      </c>
      <c r="G189" s="14">
        <f t="shared" si="5"/>
        <v>0.43456419232527749</v>
      </c>
      <c r="H189" s="14">
        <f t="shared" ref="H189:J189" si="6">SUM(H184:H188)/100</f>
        <v>0.43456419232527749</v>
      </c>
      <c r="I189" s="14">
        <f t="shared" si="6"/>
        <v>0.65883784620073993</v>
      </c>
      <c r="J189" s="14">
        <f t="shared" si="6"/>
        <v>0.80369257697583241</v>
      </c>
    </row>
    <row r="190" spans="2:11" x14ac:dyDescent="0.3">
      <c r="B190" s="2"/>
      <c r="C190" s="2"/>
      <c r="D190" s="2"/>
      <c r="E190" s="2"/>
      <c r="F190" s="2"/>
      <c r="G190" s="2"/>
    </row>
    <row r="191" spans="2:11" x14ac:dyDescent="0.3">
      <c r="B191" s="2"/>
      <c r="C191" s="2"/>
      <c r="D191" s="2"/>
      <c r="E191" s="2"/>
      <c r="F191" s="2"/>
      <c r="G191" s="2"/>
    </row>
    <row r="192" spans="2:11" x14ac:dyDescent="0.3">
      <c r="B192" s="34" t="s">
        <v>107</v>
      </c>
      <c r="C192" s="2"/>
      <c r="D192" s="2"/>
      <c r="E192" s="2"/>
      <c r="F192" s="2"/>
      <c r="G192" s="2"/>
    </row>
    <row r="193" spans="2:11" x14ac:dyDescent="0.3">
      <c r="B193" s="2"/>
      <c r="C193" s="2"/>
      <c r="D193" s="2"/>
      <c r="E193" s="2"/>
      <c r="F193" s="2"/>
      <c r="G193" s="2"/>
    </row>
    <row r="194" spans="2:11" x14ac:dyDescent="0.3">
      <c r="B194" s="22"/>
      <c r="C194" s="86" t="s">
        <v>40</v>
      </c>
      <c r="D194" s="189" t="s">
        <v>41</v>
      </c>
      <c r="E194" s="190"/>
      <c r="F194" s="190"/>
      <c r="G194" s="190"/>
      <c r="H194" s="190"/>
      <c r="I194" s="190"/>
      <c r="J194" s="191"/>
    </row>
    <row r="195" spans="2:11" ht="15" thickBot="1" x14ac:dyDescent="0.35">
      <c r="B195" s="22"/>
      <c r="C195" s="24"/>
      <c r="D195" s="33"/>
      <c r="E195" s="196" t="s">
        <v>88</v>
      </c>
      <c r="F195" s="197"/>
      <c r="G195" s="198"/>
      <c r="H195" s="196" t="s">
        <v>89</v>
      </c>
      <c r="I195" s="197"/>
      <c r="J195" s="198"/>
      <c r="K195" s="16"/>
    </row>
    <row r="196" spans="2:11" ht="15" thickBot="1" x14ac:dyDescent="0.35">
      <c r="B196" s="22"/>
      <c r="C196" s="30" t="s">
        <v>4</v>
      </c>
      <c r="D196" s="110" t="s">
        <v>4</v>
      </c>
      <c r="E196" s="102" t="s">
        <v>5</v>
      </c>
      <c r="F196" s="100" t="s">
        <v>6</v>
      </c>
      <c r="G196" s="101" t="s">
        <v>7</v>
      </c>
      <c r="H196" s="102" t="s">
        <v>5</v>
      </c>
      <c r="I196" s="100" t="s">
        <v>6</v>
      </c>
      <c r="J196" s="101" t="s">
        <v>7</v>
      </c>
    </row>
    <row r="197" spans="2:11" x14ac:dyDescent="0.3">
      <c r="B197" s="10" t="s">
        <v>24</v>
      </c>
      <c r="C197" s="10">
        <v>2</v>
      </c>
      <c r="D197" s="10">
        <v>1</v>
      </c>
      <c r="E197" s="10">
        <v>1</v>
      </c>
      <c r="F197" s="10">
        <v>1</v>
      </c>
      <c r="G197" s="10">
        <v>2</v>
      </c>
      <c r="H197" s="10">
        <v>1</v>
      </c>
      <c r="I197" s="10">
        <v>2</v>
      </c>
      <c r="J197" s="10">
        <v>3</v>
      </c>
    </row>
    <row r="198" spans="2:11" x14ac:dyDescent="0.3">
      <c r="B198" s="10" t="s">
        <v>26</v>
      </c>
      <c r="C198" s="10">
        <v>4</v>
      </c>
      <c r="D198" s="10">
        <v>4</v>
      </c>
      <c r="E198" s="10">
        <v>4</v>
      </c>
      <c r="F198" s="10">
        <v>4</v>
      </c>
      <c r="G198" s="10">
        <v>4</v>
      </c>
      <c r="H198" s="10">
        <v>4</v>
      </c>
      <c r="I198" s="10">
        <v>4</v>
      </c>
      <c r="J198" s="10">
        <v>4</v>
      </c>
    </row>
    <row r="199" spans="2:11" x14ac:dyDescent="0.3">
      <c r="B199" s="10" t="s">
        <v>25</v>
      </c>
      <c r="C199" s="10">
        <f>C197*C198</f>
        <v>8</v>
      </c>
      <c r="D199" s="10">
        <f t="shared" ref="D199:G199" si="7">D197*D198</f>
        <v>4</v>
      </c>
      <c r="E199" s="10">
        <f t="shared" si="7"/>
        <v>4</v>
      </c>
      <c r="F199" s="10">
        <f t="shared" si="7"/>
        <v>4</v>
      </c>
      <c r="G199" s="10">
        <f t="shared" si="7"/>
        <v>8</v>
      </c>
      <c r="H199" s="10">
        <f t="shared" ref="H199:J199" si="8">H197*H198</f>
        <v>4</v>
      </c>
      <c r="I199" s="10">
        <f t="shared" si="8"/>
        <v>8</v>
      </c>
      <c r="J199" s="10">
        <f t="shared" si="8"/>
        <v>12</v>
      </c>
    </row>
    <row r="200" spans="2:11" x14ac:dyDescent="0.3">
      <c r="B200" s="52" t="s">
        <v>29</v>
      </c>
      <c r="C200" s="14">
        <f t="shared" ref="C200:J200" si="9">C199/($P$43*$S$42)</f>
        <v>0.44444444444444442</v>
      </c>
      <c r="D200" s="14">
        <f t="shared" si="9"/>
        <v>0.22222222222222221</v>
      </c>
      <c r="E200" s="14">
        <f t="shared" si="9"/>
        <v>0.22222222222222221</v>
      </c>
      <c r="F200" s="14">
        <f t="shared" si="9"/>
        <v>0.22222222222222221</v>
      </c>
      <c r="G200" s="14">
        <f t="shared" si="9"/>
        <v>0.44444444444444442</v>
      </c>
      <c r="H200" s="14">
        <f t="shared" si="9"/>
        <v>0.22222222222222221</v>
      </c>
      <c r="I200" s="14">
        <f t="shared" si="9"/>
        <v>0.44444444444444442</v>
      </c>
      <c r="J200" s="14">
        <f t="shared" si="9"/>
        <v>0.66666666666666663</v>
      </c>
    </row>
    <row r="203" spans="2:11" x14ac:dyDescent="0.3">
      <c r="B203" s="57" t="s">
        <v>30</v>
      </c>
    </row>
    <row r="204" spans="2:11" x14ac:dyDescent="0.3">
      <c r="B204" s="2"/>
      <c r="C204" s="2"/>
      <c r="D204" s="2"/>
    </row>
    <row r="205" spans="2:11" x14ac:dyDescent="0.3">
      <c r="B205" s="24" t="s">
        <v>4</v>
      </c>
      <c r="C205" s="24" t="s">
        <v>40</v>
      </c>
      <c r="D205" s="39" t="s">
        <v>41</v>
      </c>
    </row>
    <row r="206" spans="2:11" x14ac:dyDescent="0.3">
      <c r="B206" s="42" t="s">
        <v>16</v>
      </c>
      <c r="C206" s="41">
        <f>C176</f>
        <v>0.6086970844329419</v>
      </c>
      <c r="D206" s="40">
        <f>D176</f>
        <v>0.14606758782645746</v>
      </c>
    </row>
    <row r="207" spans="2:11" x14ac:dyDescent="0.3">
      <c r="B207" s="44" t="s">
        <v>17</v>
      </c>
      <c r="C207" s="45">
        <f>C189</f>
        <v>0.65659796147398264</v>
      </c>
      <c r="D207" s="45">
        <f>D189</f>
        <v>0.31543580767472251</v>
      </c>
    </row>
    <row r="208" spans="2:11" x14ac:dyDescent="0.3">
      <c r="B208" s="43" t="s">
        <v>106</v>
      </c>
      <c r="C208" s="54">
        <f>C200</f>
        <v>0.44444444444444442</v>
      </c>
      <c r="D208" s="55">
        <f>D200</f>
        <v>0.22222222222222221</v>
      </c>
    </row>
    <row r="210" spans="2:10" x14ac:dyDescent="0.3">
      <c r="B210" s="33" t="s">
        <v>18</v>
      </c>
      <c r="C210" s="2"/>
      <c r="D210" s="2"/>
      <c r="E210" s="2"/>
    </row>
    <row r="211" spans="2:10" x14ac:dyDescent="0.3">
      <c r="C211" s="202" t="s">
        <v>88</v>
      </c>
      <c r="D211" s="203"/>
      <c r="E211" s="203"/>
      <c r="F211" s="204"/>
      <c r="G211" s="202" t="s">
        <v>89</v>
      </c>
      <c r="H211" s="203"/>
      <c r="I211" s="203"/>
      <c r="J211" s="204"/>
    </row>
    <row r="212" spans="2:10" x14ac:dyDescent="0.3">
      <c r="B212" s="46" t="s">
        <v>5</v>
      </c>
      <c r="C212" s="39" t="s">
        <v>1</v>
      </c>
      <c r="D212" s="47" t="s">
        <v>2</v>
      </c>
      <c r="E212" s="47" t="s">
        <v>105</v>
      </c>
      <c r="F212" s="47" t="s">
        <v>60</v>
      </c>
      <c r="G212" s="39" t="s">
        <v>1</v>
      </c>
      <c r="H212" s="47" t="s">
        <v>2</v>
      </c>
      <c r="I212" s="47" t="s">
        <v>105</v>
      </c>
      <c r="J212" s="47" t="s">
        <v>60</v>
      </c>
    </row>
    <row r="213" spans="2:10" x14ac:dyDescent="0.3">
      <c r="B213" s="44" t="s">
        <v>16</v>
      </c>
      <c r="C213" s="45">
        <f>E176</f>
        <v>0.15521245674814962</v>
      </c>
      <c r="D213" s="45">
        <f>C213-$D$206</f>
        <v>9.1448689216921675E-3</v>
      </c>
      <c r="E213" s="48">
        <f>$C$206/D213</f>
        <v>66.561597508420988</v>
      </c>
      <c r="F213" s="83">
        <f>E213*$I$50</f>
        <v>196157.02785731666</v>
      </c>
      <c r="G213" s="45">
        <f>H176</f>
        <v>0.26612204898391051</v>
      </c>
      <c r="H213" s="45">
        <f>G213-$D$206</f>
        <v>0.12005446115745305</v>
      </c>
      <c r="I213" s="48">
        <f>$C$206/H213</f>
        <v>5.0701746404461172</v>
      </c>
      <c r="J213" s="83">
        <f>I213*$I$50</f>
        <v>14941.804665394708</v>
      </c>
    </row>
    <row r="214" spans="2:10" x14ac:dyDescent="0.3">
      <c r="B214" s="44" t="s">
        <v>17</v>
      </c>
      <c r="C214" s="45">
        <f>E189</f>
        <v>0.31543580767472251</v>
      </c>
      <c r="D214" s="45">
        <f>C214-$D$207</f>
        <v>0</v>
      </c>
      <c r="E214" s="166" t="s">
        <v>0</v>
      </c>
      <c r="F214" s="166" t="s">
        <v>0</v>
      </c>
      <c r="G214" s="45">
        <f>H189</f>
        <v>0.43456419232527749</v>
      </c>
      <c r="H214" s="45">
        <f>G214-$D$207</f>
        <v>0.11912838465055497</v>
      </c>
      <c r="I214" s="48">
        <f>$C$207/H214</f>
        <v>5.5116835790228587</v>
      </c>
      <c r="J214" s="83">
        <f>I214*$I$50</f>
        <v>16242.931507380365</v>
      </c>
    </row>
    <row r="215" spans="2:10" x14ac:dyDescent="0.3">
      <c r="B215" s="44" t="s">
        <v>106</v>
      </c>
      <c r="C215" s="45">
        <f>E200</f>
        <v>0.22222222222222221</v>
      </c>
      <c r="D215" s="45">
        <f>C215-$D$208</f>
        <v>0</v>
      </c>
      <c r="E215" s="166" t="s">
        <v>0</v>
      </c>
      <c r="F215" s="166" t="s">
        <v>0</v>
      </c>
      <c r="G215" s="45">
        <f>H200</f>
        <v>0.22222222222222221</v>
      </c>
      <c r="H215" s="45">
        <f>G215-$D$208</f>
        <v>0</v>
      </c>
      <c r="I215" s="166" t="s">
        <v>0</v>
      </c>
      <c r="J215" s="166" t="s">
        <v>0</v>
      </c>
    </row>
    <row r="216" spans="2:10" x14ac:dyDescent="0.3">
      <c r="B216" s="3"/>
      <c r="C216" s="51"/>
      <c r="D216" s="51"/>
      <c r="E216" s="3"/>
      <c r="F216" s="3"/>
    </row>
    <row r="217" spans="2:10" x14ac:dyDescent="0.3">
      <c r="B217" s="56" t="s">
        <v>6</v>
      </c>
      <c r="D217" s="4"/>
      <c r="E217" s="2"/>
    </row>
    <row r="218" spans="2:10" x14ac:dyDescent="0.3">
      <c r="B218" s="44" t="s">
        <v>16</v>
      </c>
      <c r="C218" s="45">
        <f>F176</f>
        <v>0.27505037089482587</v>
      </c>
      <c r="D218" s="45">
        <f>C218-$D$206</f>
        <v>0.12898278306836841</v>
      </c>
      <c r="E218" s="48">
        <f>$C$206/D218</f>
        <v>4.7192118975312924</v>
      </c>
      <c r="F218" s="83">
        <f>E218*$J$50</f>
        <v>16268.067253169871</v>
      </c>
      <c r="G218" s="45">
        <f>I176</f>
        <v>0.47981726394731267</v>
      </c>
      <c r="H218" s="45">
        <f>G218-$D$206</f>
        <v>0.33374967612085521</v>
      </c>
      <c r="I218" s="48">
        <f>$C$206/H218</f>
        <v>1.823813258810548</v>
      </c>
      <c r="J218" s="83">
        <f>I218*$J$50</f>
        <v>6287.049065771721</v>
      </c>
    </row>
    <row r="219" spans="2:10" x14ac:dyDescent="0.3">
      <c r="B219" s="44" t="s">
        <v>17</v>
      </c>
      <c r="C219" s="45">
        <f>F189</f>
        <v>0.43456419232527749</v>
      </c>
      <c r="D219" s="45">
        <f>C219-$D$207</f>
        <v>0.11912838465055497</v>
      </c>
      <c r="E219" s="48">
        <f>$C$207/D219</f>
        <v>5.5116835790228587</v>
      </c>
      <c r="F219" s="83">
        <f>E219*$J$50</f>
        <v>18999.875633607597</v>
      </c>
      <c r="G219" s="45">
        <f>I189</f>
        <v>0.65883784620073993</v>
      </c>
      <c r="H219" s="45">
        <f>G219-$D$207</f>
        <v>0.34340203852601742</v>
      </c>
      <c r="I219" s="48">
        <f>$C$207/H219</f>
        <v>1.9120386247335464</v>
      </c>
      <c r="J219" s="83">
        <f>I219*$J$50</f>
        <v>6591.1795471814803</v>
      </c>
    </row>
    <row r="220" spans="2:10" x14ac:dyDescent="0.3">
      <c r="B220" s="44" t="s">
        <v>106</v>
      </c>
      <c r="C220" s="45">
        <f>F200</f>
        <v>0.22222222222222221</v>
      </c>
      <c r="D220" s="45">
        <f>C220-$D$208</f>
        <v>0</v>
      </c>
      <c r="E220" s="166" t="s">
        <v>0</v>
      </c>
      <c r="F220" s="166" t="s">
        <v>0</v>
      </c>
      <c r="G220" s="45">
        <f>I200</f>
        <v>0.44444444444444442</v>
      </c>
      <c r="H220" s="45">
        <f>G220-$D$208</f>
        <v>0.22222222222222221</v>
      </c>
      <c r="I220" s="48">
        <f>$C$208/H220</f>
        <v>2</v>
      </c>
      <c r="J220" s="83">
        <f>I220*$J$50</f>
        <v>6894.4</v>
      </c>
    </row>
    <row r="221" spans="2:10" x14ac:dyDescent="0.3">
      <c r="C221" s="2"/>
      <c r="D221" s="2"/>
      <c r="E221" s="2"/>
    </row>
    <row r="222" spans="2:10" x14ac:dyDescent="0.3">
      <c r="B222" s="36" t="s">
        <v>7</v>
      </c>
      <c r="C222" s="2"/>
      <c r="D222" s="2"/>
      <c r="E222" s="2"/>
    </row>
    <row r="223" spans="2:10" x14ac:dyDescent="0.3">
      <c r="B223" s="44" t="s">
        <v>16</v>
      </c>
      <c r="C223" s="45">
        <f>G176</f>
        <v>0.36939569303353992</v>
      </c>
      <c r="D223" s="45">
        <f>C223-$D$206</f>
        <v>0.22332810520708246</v>
      </c>
      <c r="E223" s="48">
        <f>$C$206/D223</f>
        <v>2.725573137642141</v>
      </c>
      <c r="F223" s="83">
        <f>E223*$K$50</f>
        <v>12121.168857722128</v>
      </c>
      <c r="G223" s="45">
        <f>J176</f>
        <v>0.68738989564251174</v>
      </c>
      <c r="H223" s="45">
        <f>G223-$D$206</f>
        <v>0.54132230781605428</v>
      </c>
      <c r="I223" s="48">
        <f>$C$206/H223</f>
        <v>1.1244633292293251</v>
      </c>
      <c r="J223" s="83">
        <f>I223*$K$50</f>
        <v>5000.7133177486548</v>
      </c>
    </row>
    <row r="224" spans="2:10" x14ac:dyDescent="0.3">
      <c r="B224" s="44" t="s">
        <v>17</v>
      </c>
      <c r="C224" s="45">
        <f>G189</f>
        <v>0.43456419232527749</v>
      </c>
      <c r="D224" s="45">
        <f>C224-$D$207</f>
        <v>0.11912838465055497</v>
      </c>
      <c r="E224" s="48">
        <f>$C$207/D224</f>
        <v>5.5116835790228587</v>
      </c>
      <c r="F224" s="83">
        <f>E224*$K$50</f>
        <v>24511.559212630455</v>
      </c>
      <c r="G224" s="45">
        <f>J189</f>
        <v>0.80369257697583241</v>
      </c>
      <c r="H224" s="45">
        <f>G224-$D$207</f>
        <v>0.48825676930110989</v>
      </c>
      <c r="I224" s="48">
        <f>$C$207/H224</f>
        <v>1.3447800476250151</v>
      </c>
      <c r="J224" s="83">
        <f>I224*$K$50</f>
        <v>5980.505827797967</v>
      </c>
    </row>
    <row r="225" spans="2:10" x14ac:dyDescent="0.3">
      <c r="B225" s="44" t="s">
        <v>106</v>
      </c>
      <c r="C225" s="45">
        <f>G200</f>
        <v>0.44444444444444442</v>
      </c>
      <c r="D225" s="45">
        <f>C225-$D$208</f>
        <v>0.22222222222222221</v>
      </c>
      <c r="E225" s="48">
        <f>$C$208/D225</f>
        <v>2</v>
      </c>
      <c r="F225" s="83">
        <f>E225*$K$50</f>
        <v>8894.4</v>
      </c>
      <c r="G225" s="45">
        <f>J200</f>
        <v>0.66666666666666663</v>
      </c>
      <c r="H225" s="45">
        <f>G225-$D$208</f>
        <v>0.44444444444444442</v>
      </c>
      <c r="I225" s="48">
        <f>$C$208/H225</f>
        <v>1</v>
      </c>
      <c r="J225" s="83">
        <f>I225*$K$50</f>
        <v>4447.2</v>
      </c>
    </row>
    <row r="227" spans="2:10" s="4" customFormat="1" x14ac:dyDescent="0.3"/>
    <row r="230" spans="2:10" x14ac:dyDescent="0.3">
      <c r="B230" s="90" t="s">
        <v>78</v>
      </c>
    </row>
    <row r="232" spans="2:10" x14ac:dyDescent="0.3">
      <c r="B232" s="34" t="s">
        <v>3</v>
      </c>
      <c r="C232" s="62"/>
    </row>
    <row r="234" spans="2:10" ht="15" thickBot="1" x14ac:dyDescent="0.35">
      <c r="B234" s="47"/>
      <c r="C234" s="24" t="s">
        <v>40</v>
      </c>
      <c r="D234" s="205" t="s">
        <v>41</v>
      </c>
      <c r="E234" s="193"/>
      <c r="F234" s="193"/>
      <c r="G234" s="193"/>
      <c r="H234" s="193"/>
      <c r="I234" s="193"/>
    </row>
    <row r="235" spans="2:10" ht="15" thickBot="1" x14ac:dyDescent="0.35">
      <c r="B235" s="22"/>
      <c r="C235" s="32" t="s">
        <v>4</v>
      </c>
      <c r="D235" s="109" t="s">
        <v>4</v>
      </c>
      <c r="E235" s="107" t="s">
        <v>81</v>
      </c>
      <c r="F235" s="107" t="s">
        <v>82</v>
      </c>
      <c r="G235" s="108" t="s">
        <v>5</v>
      </c>
      <c r="H235" s="30" t="s">
        <v>6</v>
      </c>
      <c r="I235" s="30" t="s">
        <v>7</v>
      </c>
    </row>
    <row r="236" spans="2:10" x14ac:dyDescent="0.3">
      <c r="B236" s="10" t="s">
        <v>8</v>
      </c>
      <c r="C236" s="115">
        <v>14.1</v>
      </c>
      <c r="D236" s="116">
        <v>3</v>
      </c>
      <c r="E236" s="115">
        <f>3*1.4</f>
        <v>4.1999999999999993</v>
      </c>
      <c r="F236" s="117">
        <f>0.6*3</f>
        <v>1.7999999999999998</v>
      </c>
      <c r="G236" s="118">
        <v>6.57</v>
      </c>
      <c r="H236" s="119">
        <v>6.57</v>
      </c>
      <c r="I236" s="120">
        <v>26</v>
      </c>
    </row>
    <row r="237" spans="2:10" x14ac:dyDescent="0.3">
      <c r="B237" s="10" t="s">
        <v>9</v>
      </c>
      <c r="C237" s="115">
        <v>10.9</v>
      </c>
      <c r="D237" s="121">
        <v>2.6</v>
      </c>
      <c r="E237" s="115">
        <f>1.4*2.6</f>
        <v>3.6399999999999997</v>
      </c>
      <c r="F237" s="115">
        <f>0.6*2.6</f>
        <v>1.56</v>
      </c>
      <c r="G237" s="118">
        <v>6.2850000000000001</v>
      </c>
      <c r="H237" s="119">
        <v>26.285</v>
      </c>
      <c r="I237" s="120">
        <v>26</v>
      </c>
    </row>
    <row r="238" spans="2:10" x14ac:dyDescent="0.3">
      <c r="B238" s="10" t="s">
        <v>10</v>
      </c>
      <c r="C238" s="115">
        <v>11.2</v>
      </c>
      <c r="D238" s="121">
        <v>1.3</v>
      </c>
      <c r="E238" s="115">
        <f>1.4*1.3</f>
        <v>1.8199999999999998</v>
      </c>
      <c r="F238" s="115">
        <f>0.6*1.3</f>
        <v>0.78</v>
      </c>
      <c r="G238" s="118">
        <v>7.8849999999999998</v>
      </c>
      <c r="H238" s="119">
        <v>26</v>
      </c>
      <c r="I238" s="120">
        <v>26</v>
      </c>
    </row>
    <row r="239" spans="2:10" x14ac:dyDescent="0.3">
      <c r="B239" s="10" t="s">
        <v>11</v>
      </c>
      <c r="C239" s="122">
        <v>49</v>
      </c>
      <c r="D239" s="123">
        <v>9</v>
      </c>
      <c r="E239" s="115">
        <f>1.4*9</f>
        <v>12.6</v>
      </c>
      <c r="F239" s="115">
        <f>0.6*9</f>
        <v>5.3999999999999995</v>
      </c>
      <c r="G239" s="118">
        <v>9</v>
      </c>
      <c r="H239" s="119">
        <v>14</v>
      </c>
      <c r="I239" s="120">
        <v>24</v>
      </c>
    </row>
    <row r="240" spans="2:10" x14ac:dyDescent="0.3">
      <c r="B240" s="10" t="s">
        <v>12</v>
      </c>
      <c r="C240" s="122">
        <v>18</v>
      </c>
      <c r="D240" s="121">
        <v>10</v>
      </c>
      <c r="E240" s="115">
        <v>10</v>
      </c>
      <c r="F240" s="122">
        <v>10</v>
      </c>
      <c r="G240" s="118">
        <v>10</v>
      </c>
      <c r="H240" s="119">
        <v>10</v>
      </c>
      <c r="I240" s="120">
        <v>10</v>
      </c>
    </row>
    <row r="241" spans="2:10" x14ac:dyDescent="0.3">
      <c r="B241" s="20" t="s">
        <v>13</v>
      </c>
      <c r="C241" s="124">
        <f>(((1-$J$15*(1-C236/$K$15))*(1-$J$16*(1-C237/$K$16))*(1-$J$17*(1-C238/$K$17))*(1-$J$18*(1-C239/$K$18))*(1-$J$19*(1-C240/$K$19)))-((1-$J$15)*(1-$J$16)*(1-$J$17)*(1-$J$18)*(1-$J$19)))/(1-((1-$J$15)*(1-$J$16)*(1-$J$17)*(1-$J$18)*(1-$J$19)))</f>
        <v>0.6086970844329419</v>
      </c>
      <c r="D241" s="125">
        <f>(((1-$J$15*(1-D236/$K$15))*(1-$J$16*(1-D237/$K$16))*(1-$J$17*(1-D238/$K$17))*(1-$J$18*(1-D239/$K$18))*(1-$J$19*(1-D240/$K$19)))-((1-$J$15)*(1-$J$16)*(1-$J$17)*(1-$J$18)*(1-$J$19)))/(1-((1-$J$15)*(1-$J$16)*(1-$J$17)*(1-$J$18)*(1-$J$19)))</f>
        <v>0.14606758782645746</v>
      </c>
      <c r="E241" s="126">
        <f t="shared" ref="E241:F241" si="10">(((1-$J$15*(1-E236/$K$15))*(1-$J$16*(1-E237/$K$16))*(1-$J$17*(1-E238/$K$17))*(1-$J$18*(1-E239/$K$18))*(1-$J$19*(1-E240/$K$19)))-((1-$J$15)*(1-$J$16)*(1-$J$17)*(1-$J$18)*(1-$J$19)))/(1-((1-$J$15)*(1-$J$16)*(1-$J$17)*(1-$J$18)*(1-$J$19)))</f>
        <v>0.17334409350788543</v>
      </c>
      <c r="F241" s="126">
        <f t="shared" si="10"/>
        <v>0.11959684125326671</v>
      </c>
      <c r="G241" s="127">
        <f>(((1-$J$15*(1-G236/$K$15))*(1-$J$16*(1-G237/$K$16))*(1-$J$17*(1-G238/$K$17))*(1-$J$18*(1-G239/$K$18))*(1-$J$19*(1-G240/$K$19)))-((1-$J$15)*(1-$J$16)*(1-$J$17)*(1-$J$18)*(1-$J$19)))/(1-((1-$J$15)*(1-$J$16)*(1-$J$17)*(1-$J$18)*(1-$J$19)))</f>
        <v>0.20882117286545568</v>
      </c>
      <c r="H241" s="124">
        <f>(((1-$J$15*(1-H236/$K$15))*(1-$J$16*(1-H237/$K$16))*(1-$J$17*(1-H238/$K$17))*(1-$J$18*(1-H239/$K$18))*(1-$J$19*(1-H240/$K$19)))-((1-$J$15)*(1-$J$16)*(1-$J$17)*(1-$J$18)*(1-$J$19)))/(1-((1-$J$15)*(1-$J$16)*(1-$J$17)*(1-$J$18)*(1-$J$19)))</f>
        <v>0.43046007325861041</v>
      </c>
      <c r="I241" s="124">
        <f>(((1-$J$15*(1-I236/$K$15))*(1-$J$16*(1-I237/$K$16))*(1-$J$17*(1-I238/$K$17))*(1-$J$18*(1-I239/$K$18))*(1-$J$19*(1-I240/$K$19)))-((1-$J$15)*(1-$J$16)*(1-$J$17)*(1-$J$18)*(1-$J$19)))/(1-((1-$J$15)*(1-$J$16)*(1-$J$17)*(1-$J$18)*(1-$J$19)))</f>
        <v>0.62147160015579861</v>
      </c>
    </row>
    <row r="242" spans="2:10" x14ac:dyDescent="0.3">
      <c r="E242" s="128" t="s">
        <v>98</v>
      </c>
      <c r="F242" s="3"/>
    </row>
    <row r="243" spans="2:10" x14ac:dyDescent="0.3">
      <c r="F243" s="128" t="s">
        <v>99</v>
      </c>
    </row>
    <row r="244" spans="2:10" x14ac:dyDescent="0.3">
      <c r="B244" s="34" t="s">
        <v>31</v>
      </c>
      <c r="C244" s="2"/>
      <c r="D244" s="2"/>
      <c r="E244" s="2"/>
      <c r="F244" s="2"/>
      <c r="G244" s="2"/>
    </row>
    <row r="245" spans="2:10" x14ac:dyDescent="0.3">
      <c r="B245" s="2"/>
      <c r="C245" s="2"/>
      <c r="D245" s="2"/>
      <c r="E245" s="2"/>
      <c r="F245" s="2"/>
      <c r="G245" s="2"/>
    </row>
    <row r="246" spans="2:10" ht="15" thickBot="1" x14ac:dyDescent="0.35">
      <c r="B246" s="47"/>
      <c r="C246" s="24" t="s">
        <v>40</v>
      </c>
      <c r="D246" s="202" t="s">
        <v>41</v>
      </c>
      <c r="E246" s="193"/>
      <c r="F246" s="193"/>
      <c r="G246" s="203"/>
      <c r="H246" s="203"/>
      <c r="I246" s="203"/>
      <c r="J246" s="16"/>
    </row>
    <row r="247" spans="2:10" ht="15" thickBot="1" x14ac:dyDescent="0.35">
      <c r="B247" s="9"/>
      <c r="C247" s="30" t="s">
        <v>4</v>
      </c>
      <c r="D247" s="111" t="s">
        <v>4</v>
      </c>
      <c r="E247" s="107" t="s">
        <v>79</v>
      </c>
      <c r="F247" s="107" t="s">
        <v>80</v>
      </c>
      <c r="G247" s="105" t="s">
        <v>5</v>
      </c>
      <c r="H247" s="106" t="s">
        <v>6</v>
      </c>
      <c r="I247" s="106" t="s">
        <v>7</v>
      </c>
    </row>
    <row r="248" spans="2:10" x14ac:dyDescent="0.3">
      <c r="B248" s="16" t="s">
        <v>8</v>
      </c>
      <c r="C248" s="96">
        <v>3.9709461550184968</v>
      </c>
      <c r="D248" s="96">
        <v>3.9709461550184968</v>
      </c>
      <c r="E248" s="96">
        <v>3.9709461550184968</v>
      </c>
      <c r="F248" s="96">
        <v>3.9709461550184968</v>
      </c>
      <c r="G248" s="96">
        <v>3.9709461550184968</v>
      </c>
      <c r="H248" s="96">
        <v>3.9709461550184968</v>
      </c>
      <c r="I248" s="96">
        <v>15.883784620073987</v>
      </c>
    </row>
    <row r="249" spans="2:10" x14ac:dyDescent="0.3">
      <c r="B249" s="16" t="s">
        <v>9</v>
      </c>
      <c r="C249" s="96">
        <v>7.9418923100369936</v>
      </c>
      <c r="D249" s="96">
        <v>3.9709461550184968</v>
      </c>
      <c r="E249" s="96">
        <v>3.9709461550184968</v>
      </c>
      <c r="F249" s="96">
        <v>3.9709461550184968</v>
      </c>
      <c r="G249" s="96">
        <v>3.9709461550184968</v>
      </c>
      <c r="H249" s="96">
        <v>15.883784620073987</v>
      </c>
      <c r="I249" s="96">
        <v>15.883784620073987</v>
      </c>
    </row>
    <row r="250" spans="2:10" x14ac:dyDescent="0.3">
      <c r="B250" s="16" t="s">
        <v>10</v>
      </c>
      <c r="C250" s="96">
        <v>7.9418923100369936</v>
      </c>
      <c r="D250" s="96">
        <v>3.9709461550184968</v>
      </c>
      <c r="E250" s="96">
        <v>3.9709461550184968</v>
      </c>
      <c r="F250" s="96">
        <v>3.9709461550184968</v>
      </c>
      <c r="G250" s="96">
        <v>7.9418923100369936</v>
      </c>
      <c r="H250" s="96">
        <v>15.883784620073987</v>
      </c>
      <c r="I250" s="96">
        <v>15.883784620073987</v>
      </c>
    </row>
    <row r="251" spans="2:10" x14ac:dyDescent="0.3">
      <c r="B251" s="16" t="s">
        <v>11</v>
      </c>
      <c r="C251" s="96">
        <v>26.17432306988902</v>
      </c>
      <c r="D251" s="96">
        <v>6.543580767472255</v>
      </c>
      <c r="E251" s="96">
        <v>6.543580767472255</v>
      </c>
      <c r="F251" s="96">
        <v>6.543580767472255</v>
      </c>
      <c r="G251" s="96">
        <v>6.543580767472255</v>
      </c>
      <c r="H251" s="96">
        <v>6.543580767472255</v>
      </c>
      <c r="I251" s="96">
        <v>13.08716153494451</v>
      </c>
    </row>
    <row r="252" spans="2:10" x14ac:dyDescent="0.3">
      <c r="B252" s="16" t="s">
        <v>12</v>
      </c>
      <c r="C252" s="96">
        <v>19.630742302416763</v>
      </c>
      <c r="D252" s="96">
        <v>13.08716153494451</v>
      </c>
      <c r="E252" s="96">
        <v>13.08716153494451</v>
      </c>
      <c r="F252" s="96">
        <v>13.08716153494451</v>
      </c>
      <c r="G252" s="96">
        <v>13.08716153494451</v>
      </c>
      <c r="H252" s="96">
        <v>13.08716153494451</v>
      </c>
      <c r="I252" s="96">
        <v>13.08716153494451</v>
      </c>
    </row>
    <row r="253" spans="2:10" x14ac:dyDescent="0.3">
      <c r="B253" s="7" t="s">
        <v>13</v>
      </c>
      <c r="C253" s="14">
        <f>SUM(C248:C252)/100</f>
        <v>0.65659796147398264</v>
      </c>
      <c r="D253" s="14">
        <f>SUM(D248:D252)/100</f>
        <v>0.31543580767472251</v>
      </c>
      <c r="E253" s="14">
        <f>SUM(E248:E252)/100</f>
        <v>0.31543580767472251</v>
      </c>
      <c r="F253" s="14">
        <f>SUM(F248:F252)/100</f>
        <v>0.31543580767472251</v>
      </c>
      <c r="G253" s="14">
        <f t="shared" ref="G253:I253" si="11">SUM(G248:G252)/100</f>
        <v>0.35514526922490752</v>
      </c>
      <c r="H253" s="14">
        <f t="shared" si="11"/>
        <v>0.55369257697583241</v>
      </c>
      <c r="I253" s="14">
        <f t="shared" si="11"/>
        <v>0.73825676930110984</v>
      </c>
    </row>
    <row r="254" spans="2:10" x14ac:dyDescent="0.3">
      <c r="B254" s="2"/>
      <c r="C254" s="2"/>
      <c r="D254" s="2"/>
      <c r="E254" s="2"/>
      <c r="F254" s="3"/>
      <c r="G254" s="2"/>
    </row>
    <row r="255" spans="2:10" x14ac:dyDescent="0.3">
      <c r="B255" s="2"/>
      <c r="C255" s="2"/>
      <c r="D255" s="2"/>
      <c r="E255" s="2"/>
      <c r="F255" s="2"/>
      <c r="G255" s="2"/>
    </row>
    <row r="256" spans="2:10" x14ac:dyDescent="0.3">
      <c r="B256" s="34" t="s">
        <v>107</v>
      </c>
      <c r="C256" s="2"/>
      <c r="D256" s="2"/>
      <c r="E256" s="2"/>
      <c r="F256" s="2"/>
      <c r="G256" s="2"/>
    </row>
    <row r="257" spans="2:9" x14ac:dyDescent="0.3">
      <c r="B257" s="2"/>
      <c r="C257" s="2"/>
      <c r="D257" s="2"/>
      <c r="E257" s="2"/>
      <c r="F257" s="2"/>
      <c r="G257" s="2"/>
    </row>
    <row r="258" spans="2:9" ht="15" thickBot="1" x14ac:dyDescent="0.35">
      <c r="B258" s="22"/>
      <c r="C258" s="24" t="s">
        <v>40</v>
      </c>
      <c r="D258" s="202" t="s">
        <v>41</v>
      </c>
      <c r="E258" s="193"/>
      <c r="F258" s="193"/>
      <c r="G258" s="203"/>
      <c r="H258" s="203"/>
      <c r="I258" s="204"/>
    </row>
    <row r="259" spans="2:9" ht="15" thickBot="1" x14ac:dyDescent="0.35">
      <c r="B259" s="22"/>
      <c r="C259" s="32" t="s">
        <v>4</v>
      </c>
      <c r="D259" s="111" t="s">
        <v>4</v>
      </c>
      <c r="E259" s="107" t="s">
        <v>79</v>
      </c>
      <c r="F259" s="107" t="s">
        <v>80</v>
      </c>
      <c r="G259" s="105" t="s">
        <v>5</v>
      </c>
      <c r="H259" s="106" t="s">
        <v>6</v>
      </c>
      <c r="I259" s="106" t="s">
        <v>7</v>
      </c>
    </row>
    <row r="260" spans="2:9" x14ac:dyDescent="0.3">
      <c r="B260" s="10" t="s">
        <v>24</v>
      </c>
      <c r="C260" s="10">
        <v>2</v>
      </c>
      <c r="D260" s="10">
        <v>1</v>
      </c>
      <c r="E260" s="10">
        <v>1</v>
      </c>
      <c r="F260" s="10">
        <v>1</v>
      </c>
      <c r="G260" s="10">
        <v>1</v>
      </c>
      <c r="H260" s="10">
        <v>2</v>
      </c>
      <c r="I260" s="10">
        <v>2</v>
      </c>
    </row>
    <row r="261" spans="2:9" x14ac:dyDescent="0.3">
      <c r="B261" s="10" t="s">
        <v>26</v>
      </c>
      <c r="C261" s="10">
        <v>4</v>
      </c>
      <c r="D261" s="10">
        <v>4</v>
      </c>
      <c r="E261" s="10">
        <v>4</v>
      </c>
      <c r="F261" s="10">
        <v>4</v>
      </c>
      <c r="G261" s="10">
        <v>4</v>
      </c>
      <c r="H261" s="10">
        <v>4</v>
      </c>
      <c r="I261" s="10">
        <v>4</v>
      </c>
    </row>
    <row r="262" spans="2:9" x14ac:dyDescent="0.3">
      <c r="B262" s="10" t="s">
        <v>25</v>
      </c>
      <c r="C262" s="10">
        <f>C260*C261</f>
        <v>8</v>
      </c>
      <c r="D262" s="10">
        <f t="shared" ref="D262" si="12">D260*D261</f>
        <v>4</v>
      </c>
      <c r="E262" s="10">
        <f t="shared" ref="E262:F262" si="13">E260*E261</f>
        <v>4</v>
      </c>
      <c r="F262" s="10">
        <f t="shared" si="13"/>
        <v>4</v>
      </c>
      <c r="G262" s="10">
        <f>G260*G261</f>
        <v>4</v>
      </c>
      <c r="H262" s="10">
        <f>H260*H261</f>
        <v>8</v>
      </c>
      <c r="I262" s="10">
        <f>I260*I261</f>
        <v>8</v>
      </c>
    </row>
    <row r="263" spans="2:9" x14ac:dyDescent="0.3">
      <c r="B263" s="52" t="s">
        <v>29</v>
      </c>
      <c r="C263" s="14">
        <f t="shared" ref="C263:I263" si="14">C262/($P$43*$S$42)</f>
        <v>0.44444444444444442</v>
      </c>
      <c r="D263" s="14">
        <f t="shared" si="14"/>
        <v>0.22222222222222221</v>
      </c>
      <c r="E263" s="14">
        <f t="shared" si="14"/>
        <v>0.22222222222222221</v>
      </c>
      <c r="F263" s="14">
        <f t="shared" si="14"/>
        <v>0.22222222222222221</v>
      </c>
      <c r="G263" s="14">
        <f t="shared" si="14"/>
        <v>0.22222222222222221</v>
      </c>
      <c r="H263" s="14">
        <f t="shared" si="14"/>
        <v>0.44444444444444442</v>
      </c>
      <c r="I263" s="14">
        <f t="shared" si="14"/>
        <v>0.44444444444444442</v>
      </c>
    </row>
    <row r="264" spans="2:9" x14ac:dyDescent="0.3">
      <c r="E264" s="3"/>
    </row>
    <row r="266" spans="2:9" x14ac:dyDescent="0.3">
      <c r="B266" s="57" t="s">
        <v>30</v>
      </c>
    </row>
    <row r="267" spans="2:9" x14ac:dyDescent="0.3">
      <c r="B267" s="2"/>
      <c r="C267" s="2"/>
      <c r="D267" s="2"/>
    </row>
    <row r="268" spans="2:9" x14ac:dyDescent="0.3">
      <c r="B268" s="24" t="s">
        <v>4</v>
      </c>
      <c r="C268" s="86" t="s">
        <v>40</v>
      </c>
      <c r="D268" s="24" t="s">
        <v>79</v>
      </c>
      <c r="E268" s="24" t="s">
        <v>80</v>
      </c>
    </row>
    <row r="269" spans="2:9" x14ac:dyDescent="0.3">
      <c r="B269" s="42" t="s">
        <v>16</v>
      </c>
      <c r="C269" s="41">
        <f>C241</f>
        <v>0.6086970844329419</v>
      </c>
      <c r="D269" s="112">
        <f>E241</f>
        <v>0.17334409350788543</v>
      </c>
      <c r="E269" s="55">
        <f>F241</f>
        <v>0.11959684125326671</v>
      </c>
    </row>
    <row r="270" spans="2:9" x14ac:dyDescent="0.3">
      <c r="B270" s="44" t="s">
        <v>17</v>
      </c>
      <c r="C270" s="45">
        <f>C253</f>
        <v>0.65659796147398264</v>
      </c>
      <c r="D270" s="45">
        <f>E253</f>
        <v>0.31543580767472251</v>
      </c>
      <c r="E270" s="114">
        <f>F253</f>
        <v>0.31543580767472251</v>
      </c>
    </row>
    <row r="271" spans="2:9" x14ac:dyDescent="0.3">
      <c r="B271" s="43" t="s">
        <v>106</v>
      </c>
      <c r="C271" s="54">
        <f>C263</f>
        <v>0.44444444444444442</v>
      </c>
      <c r="D271" s="55">
        <f>E263</f>
        <v>0.22222222222222221</v>
      </c>
      <c r="E271" s="114">
        <f>F263</f>
        <v>0.22222222222222221</v>
      </c>
    </row>
    <row r="273" spans="2:9" x14ac:dyDescent="0.3">
      <c r="B273" s="33" t="s">
        <v>18</v>
      </c>
      <c r="C273" s="2"/>
      <c r="D273" s="2"/>
      <c r="E273" s="2"/>
    </row>
    <row r="274" spans="2:9" x14ac:dyDescent="0.3">
      <c r="C274" s="2"/>
      <c r="D274" s="188" t="s">
        <v>79</v>
      </c>
      <c r="E274" s="188"/>
      <c r="F274" s="188"/>
      <c r="G274" s="188" t="s">
        <v>80</v>
      </c>
      <c r="H274" s="188"/>
      <c r="I274" s="188"/>
    </row>
    <row r="275" spans="2:9" x14ac:dyDescent="0.3">
      <c r="B275" s="46" t="s">
        <v>5</v>
      </c>
      <c r="C275" s="39" t="s">
        <v>1</v>
      </c>
      <c r="D275" s="47" t="s">
        <v>2</v>
      </c>
      <c r="E275" s="47" t="s">
        <v>105</v>
      </c>
      <c r="F275" s="47" t="s">
        <v>60</v>
      </c>
      <c r="G275" s="47" t="s">
        <v>2</v>
      </c>
      <c r="H275" s="47" t="s">
        <v>105</v>
      </c>
      <c r="I275" s="47" t="s">
        <v>60</v>
      </c>
    </row>
    <row r="276" spans="2:9" x14ac:dyDescent="0.3">
      <c r="B276" s="44" t="s">
        <v>16</v>
      </c>
      <c r="C276" s="45">
        <f>G241</f>
        <v>0.20882117286545568</v>
      </c>
      <c r="D276" s="45">
        <f>C276-D269</f>
        <v>3.5477079357570246E-2</v>
      </c>
      <c r="E276" s="48">
        <f>$C$269/D276</f>
        <v>17.157474500590634</v>
      </c>
      <c r="F276" s="84">
        <f>E276*$I$50</f>
        <v>50563.077353240602</v>
      </c>
      <c r="G276" s="45">
        <f>C276-E269</f>
        <v>8.922433161218897E-2</v>
      </c>
      <c r="H276" s="48">
        <f>$C$269/G276</f>
        <v>6.8220974417452238</v>
      </c>
      <c r="I276" s="84">
        <f>H276*$I$50</f>
        <v>20104.721160823174</v>
      </c>
    </row>
    <row r="277" spans="2:9" x14ac:dyDescent="0.3">
      <c r="B277" s="44" t="s">
        <v>17</v>
      </c>
      <c r="C277" s="45">
        <f>G253</f>
        <v>0.35514526922490752</v>
      </c>
      <c r="D277" s="45">
        <f>C277-D270</f>
        <v>3.970946155018501E-2</v>
      </c>
      <c r="E277" s="48">
        <f>$C$270/D277</f>
        <v>16.53505073706857</v>
      </c>
      <c r="F277" s="84">
        <f>E277*$I$50</f>
        <v>48728.794522141077</v>
      </c>
      <c r="G277" s="45">
        <f>C277-$E$270</f>
        <v>3.970946155018501E-2</v>
      </c>
      <c r="H277" s="48">
        <f>$C$270/G277</f>
        <v>16.53505073706857</v>
      </c>
      <c r="I277" s="84">
        <f>H277*$I$50</f>
        <v>48728.794522141077</v>
      </c>
    </row>
    <row r="278" spans="2:9" x14ac:dyDescent="0.3">
      <c r="B278" s="44" t="s">
        <v>106</v>
      </c>
      <c r="C278" s="45">
        <f>G263</f>
        <v>0.22222222222222221</v>
      </c>
      <c r="D278" s="45">
        <f>C278-$D$271</f>
        <v>0</v>
      </c>
      <c r="E278" s="49" t="s">
        <v>0</v>
      </c>
      <c r="F278" s="49" t="s">
        <v>0</v>
      </c>
      <c r="G278" s="45">
        <f>C278-$E$271</f>
        <v>0</v>
      </c>
      <c r="H278" s="49" t="s">
        <v>0</v>
      </c>
      <c r="I278" s="49" t="s">
        <v>0</v>
      </c>
    </row>
    <row r="279" spans="2:9" x14ac:dyDescent="0.3">
      <c r="B279" s="3"/>
      <c r="C279" s="51"/>
      <c r="D279" s="51"/>
      <c r="E279" s="3"/>
      <c r="F279" s="3"/>
      <c r="G279" s="51"/>
      <c r="H279" s="3"/>
      <c r="I279" s="3"/>
    </row>
    <row r="280" spans="2:9" x14ac:dyDescent="0.3">
      <c r="B280" s="56" t="s">
        <v>6</v>
      </c>
      <c r="D280" s="4"/>
      <c r="E280" s="2"/>
      <c r="G280" s="4"/>
      <c r="H280" s="2"/>
    </row>
    <row r="281" spans="2:9" x14ac:dyDescent="0.3">
      <c r="B281" s="44" t="s">
        <v>16</v>
      </c>
      <c r="C281" s="45">
        <f>H241</f>
        <v>0.43046007325861041</v>
      </c>
      <c r="D281" s="45">
        <f>C281-D269</f>
        <v>0.25711597975072498</v>
      </c>
      <c r="E281" s="48">
        <f>$C$269/D281</f>
        <v>2.3674027768444277</v>
      </c>
      <c r="F281" s="83">
        <f>E281*$J$50</f>
        <v>8160.910852338111</v>
      </c>
      <c r="G281" s="45">
        <f>C281-E269</f>
        <v>0.31086323200534371</v>
      </c>
      <c r="H281" s="48">
        <f>$C$269/G281</f>
        <v>1.9580864565626033</v>
      </c>
      <c r="I281" s="83">
        <f>H281*$J$50</f>
        <v>6749.9156330626056</v>
      </c>
    </row>
    <row r="282" spans="2:9" x14ac:dyDescent="0.3">
      <c r="B282" s="44" t="s">
        <v>17</v>
      </c>
      <c r="C282" s="45">
        <f>H253</f>
        <v>0.55369257697583241</v>
      </c>
      <c r="D282" s="45">
        <f>C282-$D$270</f>
        <v>0.23825676930110989</v>
      </c>
      <c r="E282" s="48">
        <f>$C$270/D282</f>
        <v>2.7558417895114302</v>
      </c>
      <c r="F282" s="83">
        <f>E282*$J$50</f>
        <v>9499.937816803802</v>
      </c>
      <c r="G282" s="45">
        <f>C282-$E$270</f>
        <v>0.23825676930110989</v>
      </c>
      <c r="H282" s="48">
        <f>$C$270/G282</f>
        <v>2.7558417895114302</v>
      </c>
      <c r="I282" s="83">
        <f>H282*$J$50</f>
        <v>9499.937816803802</v>
      </c>
    </row>
    <row r="283" spans="2:9" x14ac:dyDescent="0.3">
      <c r="B283" s="44" t="s">
        <v>106</v>
      </c>
      <c r="C283" s="45">
        <f>H263</f>
        <v>0.44444444444444442</v>
      </c>
      <c r="D283" s="45">
        <f>C283-$D$271</f>
        <v>0.22222222222222221</v>
      </c>
      <c r="E283" s="48">
        <f>$C$271/D283</f>
        <v>2</v>
      </c>
      <c r="F283" s="83">
        <f>E283*$J$50</f>
        <v>6894.4</v>
      </c>
      <c r="G283" s="45">
        <f>C283-$E$271</f>
        <v>0.22222222222222221</v>
      </c>
      <c r="H283" s="48">
        <f>$C$271/G283</f>
        <v>2</v>
      </c>
      <c r="I283" s="83">
        <f>H283*$J$50</f>
        <v>6894.4</v>
      </c>
    </row>
    <row r="284" spans="2:9" x14ac:dyDescent="0.3">
      <c r="C284" s="2"/>
      <c r="D284" s="2"/>
      <c r="E284" s="2"/>
      <c r="G284" s="2"/>
      <c r="H284" s="2"/>
    </row>
    <row r="285" spans="2:9" x14ac:dyDescent="0.3">
      <c r="B285" s="36" t="s">
        <v>7</v>
      </c>
      <c r="C285" s="2"/>
      <c r="D285" s="2"/>
      <c r="E285" s="2"/>
      <c r="G285" s="2"/>
      <c r="H285" s="2"/>
    </row>
    <row r="286" spans="2:9" x14ac:dyDescent="0.3">
      <c r="B286" s="44" t="s">
        <v>16</v>
      </c>
      <c r="C286" s="45">
        <f>I241</f>
        <v>0.62147160015579861</v>
      </c>
      <c r="D286" s="45">
        <f>C286-D269</f>
        <v>0.44812750664791318</v>
      </c>
      <c r="E286" s="48">
        <f>$C$269/D286</f>
        <v>1.3583122557821155</v>
      </c>
      <c r="F286" s="83">
        <f>E286*$K$50</f>
        <v>6040.6862639142237</v>
      </c>
      <c r="G286" s="45">
        <f>C286-E269</f>
        <v>0.50187475890253186</v>
      </c>
      <c r="H286" s="48">
        <f>$C$269/G286</f>
        <v>1.2128465790230263</v>
      </c>
      <c r="I286" s="83">
        <f>H286*$K$50</f>
        <v>5393.7713062312023</v>
      </c>
    </row>
    <row r="287" spans="2:9" x14ac:dyDescent="0.3">
      <c r="B287" s="44" t="s">
        <v>17</v>
      </c>
      <c r="C287" s="45">
        <f>I253</f>
        <v>0.73825676930110984</v>
      </c>
      <c r="D287" s="45">
        <f>C287-$D$270</f>
        <v>0.42282096162638733</v>
      </c>
      <c r="E287" s="48">
        <f>$C$270/D287</f>
        <v>1.5528983211910037</v>
      </c>
      <c r="F287" s="83">
        <f>E287*$K$50</f>
        <v>6906.0494140006313</v>
      </c>
      <c r="G287" s="45">
        <f>C287-$E$270</f>
        <v>0.42282096162638733</v>
      </c>
      <c r="H287" s="48">
        <f>$C$270/G287</f>
        <v>1.5528983211910037</v>
      </c>
      <c r="I287" s="83">
        <f>H287*$K$50</f>
        <v>6906.0494140006313</v>
      </c>
    </row>
    <row r="288" spans="2:9" x14ac:dyDescent="0.3">
      <c r="B288" s="44" t="s">
        <v>106</v>
      </c>
      <c r="C288" s="45">
        <f>I263</f>
        <v>0.44444444444444442</v>
      </c>
      <c r="D288" s="45">
        <f>C288-$D$271</f>
        <v>0.22222222222222221</v>
      </c>
      <c r="E288" s="48">
        <f>$C$271/D288</f>
        <v>2</v>
      </c>
      <c r="F288" s="83">
        <f>E288*$K$50</f>
        <v>8894.4</v>
      </c>
      <c r="G288" s="45">
        <f>C288-$E$271</f>
        <v>0.22222222222222221</v>
      </c>
      <c r="H288" s="48">
        <f>$C$271/G288</f>
        <v>2</v>
      </c>
      <c r="I288" s="83">
        <f>H288*$K$50</f>
        <v>8894.4</v>
      </c>
    </row>
  </sheetData>
  <mergeCells count="31">
    <mergeCell ref="C81:D81"/>
    <mergeCell ref="E81:F81"/>
    <mergeCell ref="C92:D92"/>
    <mergeCell ref="E92:F92"/>
    <mergeCell ref="I52:J52"/>
    <mergeCell ref="D14:G14"/>
    <mergeCell ref="D38:G38"/>
    <mergeCell ref="D26:G26"/>
    <mergeCell ref="I48:K48"/>
    <mergeCell ref="J38:L38"/>
    <mergeCell ref="D234:I234"/>
    <mergeCell ref="D246:I246"/>
    <mergeCell ref="D258:I258"/>
    <mergeCell ref="D107:G107"/>
    <mergeCell ref="D129:G129"/>
    <mergeCell ref="R42:R43"/>
    <mergeCell ref="S42:S43"/>
    <mergeCell ref="D274:F274"/>
    <mergeCell ref="G274:I274"/>
    <mergeCell ref="D168:J168"/>
    <mergeCell ref="D181:J181"/>
    <mergeCell ref="D194:J194"/>
    <mergeCell ref="E169:G169"/>
    <mergeCell ref="H169:J169"/>
    <mergeCell ref="E182:G182"/>
    <mergeCell ref="H182:J182"/>
    <mergeCell ref="E195:G195"/>
    <mergeCell ref="H195:J195"/>
    <mergeCell ref="C211:F211"/>
    <mergeCell ref="G211:J211"/>
    <mergeCell ref="D118:G118"/>
  </mergeCells>
  <pageMargins left="0.7" right="0.7" top="0.75" bottom="0.75" header="0.3" footer="0.3"/>
  <pageSetup paperSize="9"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2020-11-25T08:35:03Z</dcterms:created>
  <dcterms:modified xsi:type="dcterms:W3CDTF">2021-05-19T06:31:52Z</dcterms:modified>
</cp:coreProperties>
</file>